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tables/table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14" documentId="8_{B80462D8-D776-4AEB-81A1-4D7FDF15E896}" xr6:coauthVersionLast="47" xr6:coauthVersionMax="47" xr10:uidLastSave="{F06F76FB-7547-404E-8D83-7156C57BD082}"/>
  <bookViews>
    <workbookView xWindow="-108" yWindow="-108" windowWidth="23256" windowHeight="12576" tabRatio="833" firstSheet="2" activeTab="9" xr2:uid="{00000000-000D-0000-FFFF-FFFF00000000}"/>
  </bookViews>
  <sheets>
    <sheet name="USER GUIDE" sheetId="7" r:id="rId1"/>
    <sheet name="1. ASSESSMENT PROFILE" sheetId="1" r:id="rId2"/>
    <sheet name="2. FACILITY PROFILE" sheetId="15" r:id="rId3"/>
    <sheet name="3.1 CASCADE ANALYSIS" sheetId="29" r:id="rId4"/>
    <sheet name="3.2 TAT ANALYSIS" sheetId="30" r:id="rId5"/>
    <sheet name="4.1 COMPLETENESS" sheetId="27" r:id="rId6"/>
    <sheet name="4.2 DATA QUALITY" sheetId="16" r:id="rId7"/>
    <sheet name="4.3 TABLE SUMMARIES" sheetId="20" r:id="rId8"/>
    <sheet name="5a. PRESUMPTIVE REGISTER - AGG" sheetId="11" r:id="rId9"/>
    <sheet name="5b. PRESUMPTIVE REGISTER -  PL" sheetId="22" r:id="rId10"/>
    <sheet name="6a. LAB REGISTER - AGG" sheetId="12" r:id="rId11"/>
    <sheet name="6b. LAB REGISTER - PL" sheetId="23" r:id="rId12"/>
    <sheet name="7a. TB TX REGISTER - AGG" sheetId="13" r:id="rId13"/>
    <sheet name="7b. TB TX REGISTER - PL" sheetId="26" r:id="rId14"/>
    <sheet name="8a. TPT REGISTER - AGG" sheetId="21" r:id="rId15"/>
    <sheet name="8b. TPT REGISTER - PL" sheetId="25" r:id="rId16"/>
  </sheets>
  <definedNames>
    <definedName name="SelectType" localSheetId="3">'USER GUIDE'!#REF!</definedName>
    <definedName name="SelectType">'USER GUIDE'!#REF!</definedName>
    <definedName name="SheetTyp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5" l="1"/>
  <c r="S162" i="30"/>
  <c r="R162" i="30"/>
  <c r="Q162" i="30"/>
  <c r="P162" i="30"/>
  <c r="O162" i="30"/>
  <c r="S131" i="30"/>
  <c r="R131" i="30"/>
  <c r="Q131" i="30"/>
  <c r="P131" i="30"/>
  <c r="O131" i="30"/>
  <c r="S100" i="30"/>
  <c r="R100" i="30"/>
  <c r="Q100" i="30"/>
  <c r="P100" i="30"/>
  <c r="O100" i="30"/>
  <c r="S69" i="30"/>
  <c r="R69" i="30"/>
  <c r="Q69" i="30"/>
  <c r="P69" i="30"/>
  <c r="O69" i="30"/>
  <c r="S38" i="30"/>
  <c r="R38" i="30"/>
  <c r="Q38" i="30"/>
  <c r="P38" i="30"/>
  <c r="O38" i="30"/>
  <c r="H4" i="20"/>
  <c r="G4" i="20"/>
  <c r="F4" i="20"/>
  <c r="E4" i="20"/>
  <c r="D4" i="20"/>
  <c r="B158" i="11"/>
  <c r="B121" i="11"/>
  <c r="B84" i="11"/>
  <c r="B47" i="11"/>
  <c r="B10" i="11"/>
  <c r="D48" i="29"/>
  <c r="C48" i="29"/>
  <c r="C47" i="29"/>
  <c r="C46" i="29"/>
  <c r="C45" i="29"/>
  <c r="C44" i="29"/>
  <c r="C43" i="29"/>
  <c r="C42" i="29"/>
  <c r="C41" i="29"/>
  <c r="C40" i="29"/>
  <c r="C39" i="29"/>
  <c r="C38" i="29"/>
  <c r="C37" i="29"/>
  <c r="C36" i="29"/>
  <c r="C35" i="29"/>
  <c r="C34" i="29"/>
  <c r="C33" i="29"/>
  <c r="AF5" i="29"/>
  <c r="C32" i="29" s="1"/>
  <c r="AE5" i="29"/>
  <c r="C31" i="29" s="1"/>
  <c r="AD5" i="29"/>
  <c r="C30" i="29" s="1"/>
  <c r="AC5" i="29"/>
  <c r="C29" i="29" s="1"/>
  <c r="AB5" i="29"/>
  <c r="C28" i="29" s="1"/>
  <c r="Q169" i="30" l="1"/>
  <c r="S170" i="30"/>
  <c r="R163" i="30"/>
  <c r="P168" i="30"/>
  <c r="O163" i="30"/>
  <c r="O135" i="30"/>
  <c r="S169" i="30"/>
  <c r="R165" i="30"/>
  <c r="R167" i="30"/>
  <c r="R168" i="30"/>
  <c r="R169" i="30"/>
  <c r="R170" i="30"/>
  <c r="R171" i="30"/>
  <c r="R176" i="30"/>
  <c r="R178" i="30"/>
  <c r="R179" i="30"/>
  <c r="R180" i="30"/>
  <c r="R181" i="30"/>
  <c r="R182" i="30"/>
  <c r="G22" i="27" a="1"/>
  <c r="G22" i="27" s="1"/>
  <c r="G18" i="27" a="1"/>
  <c r="G18" i="27" s="1"/>
  <c r="I34" i="23" a="1"/>
  <c r="I34" i="23" s="1"/>
  <c r="G20" i="27" a="1"/>
  <c r="G20" i="27" s="1"/>
  <c r="G19" i="27" a="1"/>
  <c r="G19" i="27" s="1"/>
  <c r="G17" i="27" a="1"/>
  <c r="G17" i="27" s="1"/>
  <c r="D38" i="22" a="1"/>
  <c r="D38" i="22" s="1"/>
  <c r="J38" i="22" a="1"/>
  <c r="J38" i="22" s="1"/>
  <c r="M38" i="22" a="1"/>
  <c r="M38" i="22" s="1"/>
  <c r="L38" i="22" a="1"/>
  <c r="L38" i="22" s="1"/>
  <c r="K38" i="22" a="1"/>
  <c r="K38" i="22" s="1"/>
  <c r="I38" i="22"/>
  <c r="H38" i="22"/>
  <c r="G38" i="22"/>
  <c r="F38" i="22" a="1"/>
  <c r="F38" i="22" s="1"/>
  <c r="E38" i="22" a="1"/>
  <c r="E38" i="22" s="1"/>
  <c r="AD55" i="29"/>
  <c r="X70" i="29" s="1"/>
  <c r="AC55" i="29"/>
  <c r="X69" i="29" s="1"/>
  <c r="AB55" i="29"/>
  <c r="X68" i="29" s="1"/>
  <c r="S149" i="30"/>
  <c r="R136" i="30"/>
  <c r="R141" i="30"/>
  <c r="S136" i="30"/>
  <c r="P134" i="30"/>
  <c r="O103" i="30"/>
  <c r="S111" i="30"/>
  <c r="S107" i="30"/>
  <c r="R112" i="30"/>
  <c r="Q105" i="30"/>
  <c r="P101" i="30"/>
  <c r="O85" i="30"/>
  <c r="R73" i="30"/>
  <c r="R75" i="30"/>
  <c r="R83" i="30"/>
  <c r="R84" i="30"/>
  <c r="R85" i="30"/>
  <c r="S75" i="30"/>
  <c r="R80" i="30"/>
  <c r="Q74" i="30"/>
  <c r="P79" i="30"/>
  <c r="R40" i="30"/>
  <c r="S47" i="30"/>
  <c r="Q39" i="30"/>
  <c r="P41" i="30"/>
  <c r="O50" i="30"/>
  <c r="P170" i="30"/>
  <c r="Q166" i="30"/>
  <c r="Q170" i="30"/>
  <c r="Q171" i="30"/>
  <c r="Q172" i="30"/>
  <c r="Q173" i="30"/>
  <c r="Q175" i="30"/>
  <c r="Q178" i="30"/>
  <c r="P164" i="30"/>
  <c r="P172" i="30"/>
  <c r="P176" i="30"/>
  <c r="P180" i="30"/>
  <c r="P181" i="30"/>
  <c r="O176" i="30"/>
  <c r="O181" i="30"/>
  <c r="O182" i="30"/>
  <c r="Q133" i="30"/>
  <c r="Q134" i="30"/>
  <c r="Q135" i="30"/>
  <c r="Q136" i="30"/>
  <c r="Q137" i="30"/>
  <c r="Q138" i="30"/>
  <c r="Q139" i="30"/>
  <c r="Q140" i="30"/>
  <c r="Q141" i="30"/>
  <c r="Q143" i="30"/>
  <c r="Q145" i="30"/>
  <c r="Q146" i="30"/>
  <c r="Q147" i="30"/>
  <c r="Q148" i="30"/>
  <c r="Q149" i="30"/>
  <c r="Q150" i="30"/>
  <c r="Q151" i="30"/>
  <c r="P132" i="30"/>
  <c r="P133" i="30"/>
  <c r="P135" i="30"/>
  <c r="P136" i="30"/>
  <c r="P137" i="30"/>
  <c r="P138" i="30"/>
  <c r="P139" i="30"/>
  <c r="P140" i="30"/>
  <c r="P141" i="30"/>
  <c r="P142" i="30"/>
  <c r="P143" i="30"/>
  <c r="P144" i="30"/>
  <c r="P145" i="30"/>
  <c r="P146" i="30"/>
  <c r="P147" i="30"/>
  <c r="P148" i="30"/>
  <c r="P149" i="30"/>
  <c r="P150" i="30"/>
  <c r="P151" i="30"/>
  <c r="O133" i="30"/>
  <c r="O134" i="30"/>
  <c r="O136" i="30"/>
  <c r="O137" i="30"/>
  <c r="O138" i="30"/>
  <c r="O141" i="30"/>
  <c r="O142" i="30"/>
  <c r="O143" i="30"/>
  <c r="O145" i="30"/>
  <c r="O146" i="30"/>
  <c r="O148" i="30"/>
  <c r="O149" i="30"/>
  <c r="O150" i="30"/>
  <c r="Q107" i="30"/>
  <c r="Q108" i="30"/>
  <c r="Q113" i="30"/>
  <c r="Q114" i="30"/>
  <c r="Q115" i="30"/>
  <c r="Q120" i="30"/>
  <c r="P117" i="30"/>
  <c r="Q75" i="30"/>
  <c r="Q76" i="30"/>
  <c r="Q79" i="30"/>
  <c r="Q85" i="30"/>
  <c r="Q41" i="30"/>
  <c r="Q54" i="30"/>
  <c r="Q56" i="30"/>
  <c r="P40" i="30"/>
  <c r="P46" i="30"/>
  <c r="P53" i="30"/>
  <c r="P55" i="30"/>
  <c r="P58" i="30"/>
  <c r="O48" i="30"/>
  <c r="T191" i="11"/>
  <c r="T192" i="11" s="1"/>
  <c r="S191" i="11"/>
  <c r="S192" i="11" s="1"/>
  <c r="R191" i="11"/>
  <c r="R192" i="11" s="1"/>
  <c r="Q191" i="11"/>
  <c r="Q192" i="11" s="1"/>
  <c r="P191" i="11"/>
  <c r="P192" i="11" s="1"/>
  <c r="O191" i="11"/>
  <c r="O192" i="11" s="1"/>
  <c r="N191" i="11"/>
  <c r="N192" i="11" s="1"/>
  <c r="M191" i="11"/>
  <c r="M192" i="11" s="1"/>
  <c r="L191" i="11"/>
  <c r="L192" i="11" s="1"/>
  <c r="K191" i="11"/>
  <c r="K192" i="11" s="1"/>
  <c r="J191" i="11"/>
  <c r="J192" i="11" s="1"/>
  <c r="I191" i="11"/>
  <c r="I192" i="11" s="1"/>
  <c r="H191" i="11"/>
  <c r="H192" i="11" s="1"/>
  <c r="G191" i="11"/>
  <c r="G192" i="11" s="1"/>
  <c r="F191" i="11"/>
  <c r="F192" i="11" s="1"/>
  <c r="E191" i="11"/>
  <c r="E192" i="11" s="1"/>
  <c r="D191" i="11"/>
  <c r="D192" i="11" s="1"/>
  <c r="C191" i="11"/>
  <c r="T154" i="11"/>
  <c r="T155" i="11" s="1"/>
  <c r="S154" i="11"/>
  <c r="S155" i="11" s="1"/>
  <c r="R154" i="11"/>
  <c r="R155" i="11" s="1"/>
  <c r="Q154" i="11"/>
  <c r="Q155" i="11" s="1"/>
  <c r="P154" i="11"/>
  <c r="P155" i="11" s="1"/>
  <c r="O154" i="11"/>
  <c r="O155" i="11" s="1"/>
  <c r="N154" i="11"/>
  <c r="N155" i="11" s="1"/>
  <c r="M154" i="11"/>
  <c r="M155" i="11" s="1"/>
  <c r="L154" i="11"/>
  <c r="L155" i="11" s="1"/>
  <c r="K154" i="11"/>
  <c r="K155" i="11" s="1"/>
  <c r="J154" i="11"/>
  <c r="J155" i="11" s="1"/>
  <c r="I154" i="11"/>
  <c r="I155" i="11" s="1"/>
  <c r="H154" i="11"/>
  <c r="H155" i="11" s="1"/>
  <c r="G154" i="11"/>
  <c r="G155" i="11" s="1"/>
  <c r="F154" i="11"/>
  <c r="F155" i="11" s="1"/>
  <c r="E154" i="11"/>
  <c r="E155" i="11" s="1"/>
  <c r="D154" i="11"/>
  <c r="D155" i="11" s="1"/>
  <c r="C154" i="11"/>
  <c r="S8" i="30"/>
  <c r="S9" i="30"/>
  <c r="S10" i="30"/>
  <c r="S11" i="30"/>
  <c r="S12" i="30"/>
  <c r="S13" i="30"/>
  <c r="S14" i="30"/>
  <c r="S15" i="30"/>
  <c r="S16" i="30"/>
  <c r="S17" i="30"/>
  <c r="S18" i="30"/>
  <c r="S19" i="30"/>
  <c r="S20" i="30"/>
  <c r="S21" i="30"/>
  <c r="S22" i="30"/>
  <c r="S23" i="30"/>
  <c r="S24" i="30"/>
  <c r="S25" i="30"/>
  <c r="S26" i="30"/>
  <c r="S27" i="30"/>
  <c r="R8" i="30"/>
  <c r="R9" i="30"/>
  <c r="R10" i="30"/>
  <c r="R11" i="30"/>
  <c r="R12" i="30"/>
  <c r="R13" i="30"/>
  <c r="R14" i="30"/>
  <c r="R15" i="30"/>
  <c r="R16" i="30"/>
  <c r="R17" i="30"/>
  <c r="R18" i="30"/>
  <c r="R19" i="30"/>
  <c r="R20" i="30"/>
  <c r="R21" i="30"/>
  <c r="R22" i="30"/>
  <c r="R23" i="30"/>
  <c r="R24" i="30"/>
  <c r="R25" i="30"/>
  <c r="R26" i="30"/>
  <c r="R27" i="30"/>
  <c r="Q8" i="30"/>
  <c r="Q9" i="30"/>
  <c r="Q10" i="30"/>
  <c r="Q11" i="30"/>
  <c r="Q12" i="30"/>
  <c r="Q13" i="30"/>
  <c r="Q14" i="30"/>
  <c r="Q15" i="30"/>
  <c r="Q16" i="30"/>
  <c r="Q17" i="30"/>
  <c r="Q18" i="30"/>
  <c r="Q19" i="30"/>
  <c r="Q20" i="30"/>
  <c r="Q21" i="30"/>
  <c r="Q22" i="30"/>
  <c r="Q23" i="30"/>
  <c r="Q24" i="30"/>
  <c r="Q25" i="30"/>
  <c r="Q26" i="30"/>
  <c r="Q27" i="30"/>
  <c r="P8" i="30"/>
  <c r="P9" i="30"/>
  <c r="P10" i="30"/>
  <c r="P11" i="30"/>
  <c r="P12" i="30"/>
  <c r="P13" i="30"/>
  <c r="P14" i="30"/>
  <c r="P15" i="30"/>
  <c r="P16" i="30"/>
  <c r="P17" i="30"/>
  <c r="P18" i="30"/>
  <c r="P19" i="30"/>
  <c r="P20" i="30"/>
  <c r="P21" i="30"/>
  <c r="P22" i="30"/>
  <c r="P23" i="30"/>
  <c r="P24" i="30"/>
  <c r="P25" i="30"/>
  <c r="P26" i="30"/>
  <c r="P27" i="30"/>
  <c r="O9" i="30"/>
  <c r="O10" i="30"/>
  <c r="O11" i="30"/>
  <c r="O12" i="30"/>
  <c r="O13" i="30"/>
  <c r="O14" i="30"/>
  <c r="O15" i="30"/>
  <c r="O16" i="30"/>
  <c r="O17" i="30"/>
  <c r="O18" i="30"/>
  <c r="O19" i="30"/>
  <c r="O20" i="30"/>
  <c r="O21" i="30"/>
  <c r="O22" i="30"/>
  <c r="O23" i="30"/>
  <c r="O24" i="30"/>
  <c r="O25" i="30"/>
  <c r="O26" i="30"/>
  <c r="O27" i="30"/>
  <c r="O8" i="30"/>
  <c r="T39" i="30"/>
  <c r="T40" i="30"/>
  <c r="T41" i="30"/>
  <c r="T42" i="30"/>
  <c r="T43" i="30"/>
  <c r="T44" i="30"/>
  <c r="T163" i="30"/>
  <c r="T164" i="30"/>
  <c r="T165" i="30"/>
  <c r="T166" i="30"/>
  <c r="T167" i="30"/>
  <c r="T168" i="30"/>
  <c r="T169" i="30"/>
  <c r="T170" i="30"/>
  <c r="T171" i="30"/>
  <c r="T172" i="30"/>
  <c r="T173" i="30"/>
  <c r="T174" i="30"/>
  <c r="T175" i="30"/>
  <c r="T176" i="30"/>
  <c r="T177" i="30"/>
  <c r="T178" i="30"/>
  <c r="T179" i="30"/>
  <c r="T180" i="30"/>
  <c r="T181" i="30"/>
  <c r="T182" i="30"/>
  <c r="T132" i="30"/>
  <c r="T133" i="30"/>
  <c r="T134" i="30"/>
  <c r="T135" i="30"/>
  <c r="T136" i="30"/>
  <c r="T137" i="30"/>
  <c r="T138" i="30"/>
  <c r="T139" i="30"/>
  <c r="T140" i="30"/>
  <c r="T141" i="30"/>
  <c r="T142" i="30"/>
  <c r="T143" i="30"/>
  <c r="T144" i="30"/>
  <c r="T145" i="30"/>
  <c r="T146" i="30"/>
  <c r="T147" i="30"/>
  <c r="T148" i="30"/>
  <c r="T149" i="30"/>
  <c r="T150" i="30"/>
  <c r="T151" i="30"/>
  <c r="T101" i="30"/>
  <c r="T102" i="30"/>
  <c r="T103" i="30"/>
  <c r="T104" i="30"/>
  <c r="T105" i="30"/>
  <c r="T106" i="30"/>
  <c r="T107" i="30"/>
  <c r="T108" i="30"/>
  <c r="T109" i="30"/>
  <c r="T110" i="30"/>
  <c r="T111" i="30"/>
  <c r="T112" i="30"/>
  <c r="T113" i="30"/>
  <c r="T114" i="30"/>
  <c r="T115" i="30"/>
  <c r="T116" i="30"/>
  <c r="T117" i="30"/>
  <c r="T118" i="30"/>
  <c r="T119" i="30"/>
  <c r="T120" i="30"/>
  <c r="T70" i="30"/>
  <c r="T71" i="30"/>
  <c r="T72" i="30"/>
  <c r="T73" i="30"/>
  <c r="T74" i="30"/>
  <c r="T75" i="30"/>
  <c r="T76" i="30"/>
  <c r="T77" i="30"/>
  <c r="T78" i="30"/>
  <c r="T79" i="30"/>
  <c r="T80" i="30"/>
  <c r="T81" i="30"/>
  <c r="T82" i="30"/>
  <c r="T83" i="30"/>
  <c r="T84" i="30"/>
  <c r="T85" i="30"/>
  <c r="T86" i="30"/>
  <c r="T87" i="30"/>
  <c r="T88" i="30"/>
  <c r="T89" i="30"/>
  <c r="T45" i="30"/>
  <c r="T46" i="30"/>
  <c r="T47" i="30"/>
  <c r="T48" i="30"/>
  <c r="T49" i="30"/>
  <c r="T50" i="30"/>
  <c r="T51" i="30"/>
  <c r="T52" i="30"/>
  <c r="T53" i="30"/>
  <c r="T54" i="30"/>
  <c r="T55" i="30"/>
  <c r="T56" i="30"/>
  <c r="T57" i="30"/>
  <c r="T58" i="30"/>
  <c r="N14" i="22"/>
  <c r="N15" i="22"/>
  <c r="N16" i="22"/>
  <c r="N17" i="22"/>
  <c r="N18" i="22"/>
  <c r="N19" i="22"/>
  <c r="N20" i="22"/>
  <c r="N21" i="22"/>
  <c r="N22" i="22"/>
  <c r="N23" i="22"/>
  <c r="N24" i="22"/>
  <c r="N25" i="22"/>
  <c r="N26" i="22"/>
  <c r="N27" i="22"/>
  <c r="N28" i="22"/>
  <c r="N29" i="22"/>
  <c r="N30" i="22"/>
  <c r="N31" i="22"/>
  <c r="N32" i="22"/>
  <c r="N33" i="22"/>
  <c r="C34" i="22"/>
  <c r="C35" i="22" s="1"/>
  <c r="G18" i="20" l="1"/>
  <c r="G8" i="20"/>
  <c r="C155" i="11"/>
  <c r="AE6" i="29"/>
  <c r="D31" i="29" s="1"/>
  <c r="G5" i="20"/>
  <c r="G14" i="20"/>
  <c r="G16" i="20"/>
  <c r="C192" i="11"/>
  <c r="AF6" i="29"/>
  <c r="S51" i="30"/>
  <c r="S49" i="30"/>
  <c r="H25" i="20"/>
  <c r="S172" i="30"/>
  <c r="S39" i="30"/>
  <c r="S50" i="30"/>
  <c r="S182" i="30"/>
  <c r="S177" i="30"/>
  <c r="S40" i="30"/>
  <c r="S176" i="30"/>
  <c r="S175" i="30"/>
  <c r="S174" i="30"/>
  <c r="O46" i="30"/>
  <c r="O45" i="30"/>
  <c r="O42" i="30"/>
  <c r="O180" i="30"/>
  <c r="O58" i="30"/>
  <c r="O41" i="30"/>
  <c r="O179" i="30"/>
  <c r="O57" i="30"/>
  <c r="O177" i="30"/>
  <c r="O43" i="30"/>
  <c r="O56" i="30"/>
  <c r="O55" i="30"/>
  <c r="O174" i="30"/>
  <c r="O54" i="30"/>
  <c r="O172" i="30"/>
  <c r="O52" i="30"/>
  <c r="O170" i="30"/>
  <c r="O49" i="30"/>
  <c r="O132" i="30"/>
  <c r="O119" i="30"/>
  <c r="O118" i="30"/>
  <c r="O102" i="30"/>
  <c r="O115" i="30"/>
  <c r="O171" i="30"/>
  <c r="O113" i="30"/>
  <c r="O164" i="30"/>
  <c r="O112" i="30"/>
  <c r="O107" i="30"/>
  <c r="O106" i="30"/>
  <c r="O101" i="30"/>
  <c r="R177" i="30"/>
  <c r="R164" i="30"/>
  <c r="S168" i="30"/>
  <c r="G24" i="20"/>
  <c r="Q55" i="30"/>
  <c r="Q40" i="30"/>
  <c r="R86" i="30"/>
  <c r="R142" i="30"/>
  <c r="H8" i="20"/>
  <c r="H14" i="20"/>
  <c r="H18" i="20"/>
  <c r="H24" i="20"/>
  <c r="S167" i="30"/>
  <c r="R175" i="30"/>
  <c r="S181" i="30"/>
  <c r="S166" i="30"/>
  <c r="Q53" i="30"/>
  <c r="P116" i="30"/>
  <c r="G9" i="20"/>
  <c r="G15" i="20"/>
  <c r="G20" i="20"/>
  <c r="G25" i="20"/>
  <c r="R174" i="30"/>
  <c r="S180" i="30"/>
  <c r="S165" i="30"/>
  <c r="H9" i="20"/>
  <c r="H15" i="20"/>
  <c r="H20" i="20"/>
  <c r="R173" i="30"/>
  <c r="S179" i="30"/>
  <c r="S164" i="30"/>
  <c r="Q52" i="30"/>
  <c r="Q51" i="30"/>
  <c r="P111" i="30"/>
  <c r="R81" i="30"/>
  <c r="S112" i="30"/>
  <c r="R172" i="30"/>
  <c r="S178" i="30"/>
  <c r="S163" i="30"/>
  <c r="P113" i="30"/>
  <c r="Q50" i="30"/>
  <c r="P110" i="30"/>
  <c r="G11" i="20"/>
  <c r="G21" i="20"/>
  <c r="G27" i="20"/>
  <c r="O53" i="30"/>
  <c r="P54" i="30"/>
  <c r="Q49" i="30"/>
  <c r="P109" i="30"/>
  <c r="Q144" i="30"/>
  <c r="Q132" i="30"/>
  <c r="S48" i="30"/>
  <c r="R74" i="30"/>
  <c r="H5" i="20"/>
  <c r="H11" i="20"/>
  <c r="H16" i="20"/>
  <c r="H21" i="20"/>
  <c r="H27" i="20"/>
  <c r="Q48" i="30"/>
  <c r="P105" i="30"/>
  <c r="O51" i="30"/>
  <c r="P49" i="30"/>
  <c r="Q47" i="30"/>
  <c r="P104" i="30"/>
  <c r="Q142" i="30"/>
  <c r="Q44" i="30"/>
  <c r="R72" i="30"/>
  <c r="G7" i="20"/>
  <c r="G12" i="20"/>
  <c r="G17" i="20"/>
  <c r="G22" i="20"/>
  <c r="Q43" i="30"/>
  <c r="H7" i="20"/>
  <c r="H12" i="20"/>
  <c r="H17" i="20"/>
  <c r="H22" i="20"/>
  <c r="Q42" i="30"/>
  <c r="Q180" i="30"/>
  <c r="Q168" i="30"/>
  <c r="Q179" i="30"/>
  <c r="Q167" i="30"/>
  <c r="Q165" i="30"/>
  <c r="Q176" i="30"/>
  <c r="Q164" i="30"/>
  <c r="Q177" i="30"/>
  <c r="Q174" i="30"/>
  <c r="Q163" i="30"/>
  <c r="Q182" i="30"/>
  <c r="Q181" i="30"/>
  <c r="S173" i="30"/>
  <c r="S171" i="30"/>
  <c r="R166" i="30"/>
  <c r="P179" i="30"/>
  <c r="P169" i="30"/>
  <c r="P171" i="30"/>
  <c r="O144" i="30"/>
  <c r="O140" i="30"/>
  <c r="O151" i="30"/>
  <c r="O139" i="30"/>
  <c r="O147" i="30"/>
  <c r="T187" i="30"/>
  <c r="T185" i="30"/>
  <c r="T186" i="30"/>
  <c r="T122" i="30"/>
  <c r="T121" i="30" s="1"/>
  <c r="T94" i="30"/>
  <c r="P56" i="30"/>
  <c r="P44" i="30"/>
  <c r="Q80" i="30"/>
  <c r="R44" i="30"/>
  <c r="S41" i="30"/>
  <c r="S114" i="30"/>
  <c r="R148" i="30"/>
  <c r="S110" i="30"/>
  <c r="T156" i="30"/>
  <c r="P52" i="30"/>
  <c r="P89" i="30"/>
  <c r="Q73" i="30"/>
  <c r="R57" i="30"/>
  <c r="S54" i="30"/>
  <c r="R71" i="30"/>
  <c r="R119" i="30"/>
  <c r="S108" i="30"/>
  <c r="R58" i="30"/>
  <c r="R41" i="30"/>
  <c r="P51" i="30"/>
  <c r="P86" i="30"/>
  <c r="R56" i="30"/>
  <c r="S53" i="30"/>
  <c r="S80" i="30"/>
  <c r="R117" i="30"/>
  <c r="S102" i="30"/>
  <c r="T60" i="30"/>
  <c r="T59" i="30" s="1"/>
  <c r="P50" i="30"/>
  <c r="P81" i="30"/>
  <c r="R55" i="30"/>
  <c r="S52" i="30"/>
  <c r="R87" i="30"/>
  <c r="S79" i="30"/>
  <c r="R116" i="30"/>
  <c r="R43" i="30"/>
  <c r="R42" i="30"/>
  <c r="R54" i="30"/>
  <c r="P43" i="30"/>
  <c r="R113" i="30"/>
  <c r="P80" i="30"/>
  <c r="T123" i="30"/>
  <c r="P48" i="30"/>
  <c r="Q88" i="30"/>
  <c r="R53" i="30"/>
  <c r="P42" i="30"/>
  <c r="R107" i="30"/>
  <c r="P47" i="30"/>
  <c r="Q87" i="30"/>
  <c r="R47" i="30"/>
  <c r="R105" i="30"/>
  <c r="R46" i="30"/>
  <c r="R104" i="30"/>
  <c r="P57" i="30"/>
  <c r="P45" i="30"/>
  <c r="Q81" i="30"/>
  <c r="R45" i="30"/>
  <c r="S42" i="30"/>
  <c r="S120" i="30"/>
  <c r="Q58" i="30"/>
  <c r="Q46" i="30"/>
  <c r="P78" i="30"/>
  <c r="P115" i="30"/>
  <c r="P103" i="30"/>
  <c r="T124" i="30"/>
  <c r="R51" i="30"/>
  <c r="S58" i="30"/>
  <c r="S46" i="30"/>
  <c r="R70" i="30"/>
  <c r="R79" i="30"/>
  <c r="S86" i="30"/>
  <c r="S74" i="30"/>
  <c r="P71" i="30"/>
  <c r="Q101" i="30"/>
  <c r="R111" i="30"/>
  <c r="S118" i="30"/>
  <c r="S106" i="30"/>
  <c r="S132" i="30"/>
  <c r="R140" i="30"/>
  <c r="S147" i="30"/>
  <c r="S135" i="30"/>
  <c r="Q57" i="30"/>
  <c r="Q45" i="30"/>
  <c r="P77" i="30"/>
  <c r="P114" i="30"/>
  <c r="P102" i="30"/>
  <c r="T61" i="30"/>
  <c r="T125" i="30"/>
  <c r="P39" i="30"/>
  <c r="R50" i="30"/>
  <c r="S57" i="30"/>
  <c r="S45" i="30"/>
  <c r="S70" i="30"/>
  <c r="R78" i="30"/>
  <c r="S85" i="30"/>
  <c r="S73" i="30"/>
  <c r="P70" i="30"/>
  <c r="R101" i="30"/>
  <c r="R110" i="30"/>
  <c r="S117" i="30"/>
  <c r="S105" i="30"/>
  <c r="R151" i="30"/>
  <c r="R139" i="30"/>
  <c r="S146" i="30"/>
  <c r="S134" i="30"/>
  <c r="T153" i="30"/>
  <c r="T152" i="30" s="1"/>
  <c r="R49" i="30"/>
  <c r="S56" i="30"/>
  <c r="S44" i="30"/>
  <c r="R89" i="30"/>
  <c r="R77" i="30"/>
  <c r="S84" i="30"/>
  <c r="S72" i="30"/>
  <c r="O70" i="30"/>
  <c r="S101" i="30"/>
  <c r="R109" i="30"/>
  <c r="S116" i="30"/>
  <c r="S104" i="30"/>
  <c r="R150" i="30"/>
  <c r="R138" i="30"/>
  <c r="S145" i="30"/>
  <c r="S133" i="30"/>
  <c r="T62" i="30"/>
  <c r="P112" i="30"/>
  <c r="T63" i="30"/>
  <c r="T154" i="30"/>
  <c r="R39" i="30"/>
  <c r="R48" i="30"/>
  <c r="S55" i="30"/>
  <c r="S43" i="30"/>
  <c r="R88" i="30"/>
  <c r="R76" i="30"/>
  <c r="S83" i="30"/>
  <c r="S71" i="30"/>
  <c r="R120" i="30"/>
  <c r="R108" i="30"/>
  <c r="S115" i="30"/>
  <c r="S103" i="30"/>
  <c r="R149" i="30"/>
  <c r="R137" i="30"/>
  <c r="S144" i="30"/>
  <c r="T155" i="30"/>
  <c r="S82" i="30"/>
  <c r="O40" i="30"/>
  <c r="S143" i="30"/>
  <c r="T91" i="30"/>
  <c r="T90" i="30" s="1"/>
  <c r="S81" i="30"/>
  <c r="O39" i="30"/>
  <c r="R118" i="30"/>
  <c r="R106" i="30"/>
  <c r="S113" i="30"/>
  <c r="R147" i="30"/>
  <c r="R135" i="30"/>
  <c r="S142" i="30"/>
  <c r="T92" i="30"/>
  <c r="R146" i="30"/>
  <c r="R134" i="30"/>
  <c r="S141" i="30"/>
  <c r="P120" i="30"/>
  <c r="P108" i="30"/>
  <c r="T93" i="30"/>
  <c r="R145" i="30"/>
  <c r="R133" i="30"/>
  <c r="S140" i="30"/>
  <c r="P85" i="30"/>
  <c r="P119" i="30"/>
  <c r="P107" i="30"/>
  <c r="Q102" i="30"/>
  <c r="S78" i="30"/>
  <c r="R115" i="30"/>
  <c r="R103" i="30"/>
  <c r="R144" i="30"/>
  <c r="S151" i="30"/>
  <c r="S139" i="30"/>
  <c r="P84" i="30"/>
  <c r="P118" i="30"/>
  <c r="P106" i="30"/>
  <c r="R82" i="30"/>
  <c r="S89" i="30"/>
  <c r="S77" i="30"/>
  <c r="P74" i="30"/>
  <c r="R114" i="30"/>
  <c r="R102" i="30"/>
  <c r="S109" i="30"/>
  <c r="R143" i="30"/>
  <c r="S150" i="30"/>
  <c r="S138" i="30"/>
  <c r="S88" i="30"/>
  <c r="S76" i="30"/>
  <c r="P73" i="30"/>
  <c r="S137" i="30"/>
  <c r="R52" i="30"/>
  <c r="Q70" i="30"/>
  <c r="S87" i="30"/>
  <c r="P72" i="30"/>
  <c r="S119" i="30"/>
  <c r="R132" i="30"/>
  <c r="S148" i="30"/>
  <c r="Q117" i="30"/>
  <c r="Q104" i="30"/>
  <c r="Q116" i="30"/>
  <c r="Q103" i="30"/>
  <c r="Q109" i="30"/>
  <c r="Q111" i="30"/>
  <c r="Q112" i="30"/>
  <c r="Q110" i="30"/>
  <c r="Q119" i="30"/>
  <c r="Q106" i="30"/>
  <c r="Q118" i="30"/>
  <c r="O114" i="30"/>
  <c r="O111" i="30"/>
  <c r="O110" i="30"/>
  <c r="O109" i="30"/>
  <c r="O120" i="30"/>
  <c r="O108" i="30"/>
  <c r="O117" i="30"/>
  <c r="O105" i="30"/>
  <c r="O116" i="30"/>
  <c r="O104" i="30"/>
  <c r="O71" i="30"/>
  <c r="Q84" i="30"/>
  <c r="Q72" i="30"/>
  <c r="Q83" i="30"/>
  <c r="Q71" i="30"/>
  <c r="Q82" i="30"/>
  <c r="Q78" i="30"/>
  <c r="Q89" i="30"/>
  <c r="Q77" i="30"/>
  <c r="Q86" i="30"/>
  <c r="P88" i="30"/>
  <c r="P76" i="30"/>
  <c r="P87" i="30"/>
  <c r="P75" i="30"/>
  <c r="P83" i="30"/>
  <c r="P82" i="30"/>
  <c r="O83" i="30"/>
  <c r="O81" i="30"/>
  <c r="O78" i="30"/>
  <c r="O76" i="30"/>
  <c r="O75" i="30"/>
  <c r="O73" i="30"/>
  <c r="O84" i="30"/>
  <c r="O89" i="30"/>
  <c r="O72" i="30"/>
  <c r="O87" i="30"/>
  <c r="O74" i="30"/>
  <c r="O88" i="30"/>
  <c r="O86" i="30"/>
  <c r="O82" i="30"/>
  <c r="O80" i="30"/>
  <c r="O79" i="30"/>
  <c r="O77" i="30"/>
  <c r="O47" i="30"/>
  <c r="O44" i="30"/>
  <c r="P167" i="30"/>
  <c r="P178" i="30"/>
  <c r="P166" i="30"/>
  <c r="P177" i="30"/>
  <c r="P165" i="30"/>
  <c r="P175" i="30"/>
  <c r="P163" i="30"/>
  <c r="P174" i="30"/>
  <c r="P173" i="30"/>
  <c r="P182" i="30"/>
  <c r="O178" i="30"/>
  <c r="O175" i="30"/>
  <c r="O173" i="30"/>
  <c r="O169" i="30"/>
  <c r="O168" i="30"/>
  <c r="O167" i="30"/>
  <c r="O166" i="30"/>
  <c r="O165" i="30"/>
  <c r="P156" i="30"/>
  <c r="P155" i="30"/>
  <c r="P154" i="30"/>
  <c r="R31" i="30"/>
  <c r="P31" i="30"/>
  <c r="Q30" i="30"/>
  <c r="Q32" i="30"/>
  <c r="P32" i="30"/>
  <c r="R32" i="30"/>
  <c r="S32" i="30"/>
  <c r="P30" i="30"/>
  <c r="O29" i="30"/>
  <c r="O28" i="30" s="1"/>
  <c r="Q31" i="30"/>
  <c r="R30" i="30"/>
  <c r="O30" i="30"/>
  <c r="S30" i="30"/>
  <c r="O32" i="30"/>
  <c r="S31" i="30"/>
  <c r="O31" i="30"/>
  <c r="Q29" i="30"/>
  <c r="Q28" i="30" s="1"/>
  <c r="P29" i="30"/>
  <c r="P28" i="30" s="1"/>
  <c r="S29" i="30"/>
  <c r="S28" i="30" s="1"/>
  <c r="R29" i="30"/>
  <c r="R28" i="30" s="1"/>
  <c r="T184" i="30"/>
  <c r="T183" i="30" s="1"/>
  <c r="P153" i="30"/>
  <c r="P152" i="30" s="1"/>
  <c r="R184" i="30" l="1"/>
  <c r="R183" i="30" s="1"/>
  <c r="R189" i="30" s="1"/>
  <c r="Q154" i="30"/>
  <c r="S60" i="30"/>
  <c r="S59" i="30" s="1"/>
  <c r="S64" i="30" s="1"/>
  <c r="R187" i="30"/>
  <c r="S184" i="30"/>
  <c r="S183" i="30" s="1"/>
  <c r="S188" i="30" s="1"/>
  <c r="Q184" i="30"/>
  <c r="Q183" i="30" s="1"/>
  <c r="Q190" i="30" s="1"/>
  <c r="Q153" i="30"/>
  <c r="Q152" i="30" s="1"/>
  <c r="Q159" i="30" s="1"/>
  <c r="O153" i="30"/>
  <c r="O152" i="30" s="1"/>
  <c r="O157" i="30" s="1"/>
  <c r="R185" i="30"/>
  <c r="R186" i="30"/>
  <c r="Q155" i="30"/>
  <c r="Q156" i="30"/>
  <c r="O155" i="30"/>
  <c r="D32" i="29"/>
  <c r="S185" i="30"/>
  <c r="O156" i="30"/>
  <c r="O154" i="30"/>
  <c r="S187" i="30"/>
  <c r="P122" i="30"/>
  <c r="P121" i="30" s="1"/>
  <c r="P126" i="30" s="1"/>
  <c r="Q63" i="30"/>
  <c r="P61" i="30"/>
  <c r="S186" i="30"/>
  <c r="Q187" i="30"/>
  <c r="S62" i="30"/>
  <c r="Q186" i="30"/>
  <c r="Q185" i="30"/>
  <c r="S92" i="30"/>
  <c r="Q122" i="30"/>
  <c r="Q121" i="30" s="1"/>
  <c r="Q127" i="30" s="1"/>
  <c r="P123" i="30"/>
  <c r="S154" i="30"/>
  <c r="P63" i="30"/>
  <c r="S123" i="30"/>
  <c r="S122" i="30"/>
  <c r="S121" i="30" s="1"/>
  <c r="S128" i="30" s="1"/>
  <c r="R122" i="30"/>
  <c r="P60" i="30"/>
  <c r="P59" i="30" s="1"/>
  <c r="P125" i="30"/>
  <c r="P124" i="30"/>
  <c r="R155" i="30"/>
  <c r="O60" i="30"/>
  <c r="R91" i="30"/>
  <c r="R90" i="30" s="1"/>
  <c r="R95" i="30" s="1"/>
  <c r="O91" i="30"/>
  <c r="O90" i="30" s="1"/>
  <c r="S91" i="30"/>
  <c r="S90" i="30" s="1"/>
  <c r="S97" i="30" s="1"/>
  <c r="P92" i="30"/>
  <c r="S125" i="30"/>
  <c r="S124" i="30"/>
  <c r="R125" i="30"/>
  <c r="Q60" i="30"/>
  <c r="Q59" i="30" s="1"/>
  <c r="Q66" i="30" s="1"/>
  <c r="R62" i="30"/>
  <c r="O122" i="30"/>
  <c r="O121" i="30" s="1"/>
  <c r="O126" i="30" s="1"/>
  <c r="S61" i="30"/>
  <c r="O184" i="30"/>
  <c r="O183" i="30" s="1"/>
  <c r="P91" i="30"/>
  <c r="P90" i="30" s="1"/>
  <c r="P62" i="30"/>
  <c r="Q94" i="30"/>
  <c r="P184" i="30"/>
  <c r="P183" i="30" s="1"/>
  <c r="R61" i="30"/>
  <c r="Q91" i="30"/>
  <c r="Q90" i="30" s="1"/>
  <c r="Q96" i="30" s="1"/>
  <c r="Q125" i="30"/>
  <c r="S156" i="30"/>
  <c r="S155" i="30"/>
  <c r="S63" i="30"/>
  <c r="Q61" i="30"/>
  <c r="S153" i="30"/>
  <c r="S152" i="30" s="1"/>
  <c r="O61" i="30"/>
  <c r="Q62" i="30"/>
  <c r="R63" i="30"/>
  <c r="R94" i="30"/>
  <c r="R60" i="30"/>
  <c r="R59" i="30" s="1"/>
  <c r="R66" i="30" s="1"/>
  <c r="R93" i="30"/>
  <c r="O63" i="30"/>
  <c r="S94" i="30"/>
  <c r="S93" i="30"/>
  <c r="Q92" i="30"/>
  <c r="R156" i="30"/>
  <c r="R153" i="30"/>
  <c r="R152" i="30" s="1"/>
  <c r="R154" i="30"/>
  <c r="O124" i="30"/>
  <c r="O125" i="30"/>
  <c r="R121" i="30"/>
  <c r="R124" i="30"/>
  <c r="R123" i="30"/>
  <c r="Q123" i="30"/>
  <c r="Q124" i="30"/>
  <c r="O123" i="30"/>
  <c r="P159" i="30"/>
  <c r="P158" i="30"/>
  <c r="P157" i="30"/>
  <c r="R92" i="30"/>
  <c r="Q93" i="30"/>
  <c r="P94" i="30"/>
  <c r="P93" i="30"/>
  <c r="O92" i="30"/>
  <c r="O94" i="30"/>
  <c r="O93" i="30"/>
  <c r="O59" i="30"/>
  <c r="P186" i="30"/>
  <c r="O187" i="30"/>
  <c r="O185" i="30"/>
  <c r="O186" i="30"/>
  <c r="P185" i="30"/>
  <c r="P187" i="30"/>
  <c r="J20" i="16"/>
  <c r="J21" i="16"/>
  <c r="J22" i="16"/>
  <c r="J23" i="16"/>
  <c r="J24" i="16"/>
  <c r="J25" i="16"/>
  <c r="J26" i="16"/>
  <c r="O8" i="16"/>
  <c r="O9" i="16"/>
  <c r="O10" i="16"/>
  <c r="O11" i="16"/>
  <c r="O12" i="16"/>
  <c r="O13" i="16"/>
  <c r="O14" i="16"/>
  <c r="O15" i="16"/>
  <c r="O16" i="16"/>
  <c r="O17" i="16"/>
  <c r="O18" i="16"/>
  <c r="O19" i="16"/>
  <c r="O20" i="16"/>
  <c r="O21" i="16"/>
  <c r="O22" i="16"/>
  <c r="O23" i="16"/>
  <c r="O24" i="16"/>
  <c r="O25" i="16"/>
  <c r="O26" i="16"/>
  <c r="O7" i="16"/>
  <c r="L8" i="16"/>
  <c r="L9" i="16"/>
  <c r="L10" i="16"/>
  <c r="L11" i="16"/>
  <c r="L12" i="16"/>
  <c r="L13" i="16"/>
  <c r="L14" i="16"/>
  <c r="L15" i="16"/>
  <c r="L16" i="16"/>
  <c r="L17" i="16"/>
  <c r="L18" i="16"/>
  <c r="L19" i="16"/>
  <c r="L20" i="16"/>
  <c r="L21" i="16"/>
  <c r="L22" i="16"/>
  <c r="L23" i="16"/>
  <c r="L24" i="16"/>
  <c r="L25" i="16"/>
  <c r="L26" i="16"/>
  <c r="L7" i="16"/>
  <c r="I22" i="16"/>
  <c r="I23" i="16"/>
  <c r="I24" i="16"/>
  <c r="I25" i="16"/>
  <c r="I26" i="16"/>
  <c r="I8" i="16"/>
  <c r="I9" i="16"/>
  <c r="I10" i="16"/>
  <c r="I11" i="16"/>
  <c r="I12" i="16"/>
  <c r="I13" i="16"/>
  <c r="I14" i="16"/>
  <c r="I15" i="16"/>
  <c r="I16" i="16"/>
  <c r="I17" i="16"/>
  <c r="I18" i="16"/>
  <c r="I19" i="16"/>
  <c r="I20" i="16"/>
  <c r="I21" i="16"/>
  <c r="I7" i="16"/>
  <c r="R188" i="30" l="1"/>
  <c r="R190" i="30"/>
  <c r="S65" i="30"/>
  <c r="Q157" i="30"/>
  <c r="Q158" i="30"/>
  <c r="Q188" i="30"/>
  <c r="O159" i="30"/>
  <c r="O158" i="30"/>
  <c r="S66" i="30"/>
  <c r="S189" i="30"/>
  <c r="S190" i="30"/>
  <c r="Q189" i="30"/>
  <c r="Q126" i="30"/>
  <c r="Q128" i="30"/>
  <c r="P127" i="30"/>
  <c r="P128" i="30"/>
  <c r="O128" i="30"/>
  <c r="S96" i="30"/>
  <c r="P188" i="30"/>
  <c r="P189" i="30"/>
  <c r="P190" i="30"/>
  <c r="O190" i="30"/>
  <c r="O189" i="30"/>
  <c r="O188" i="30"/>
  <c r="S126" i="30"/>
  <c r="Q64" i="30"/>
  <c r="Q65" i="30"/>
  <c r="S95" i="30"/>
  <c r="O127" i="30"/>
  <c r="S127" i="30"/>
  <c r="Q97" i="30"/>
  <c r="Q95" i="30"/>
  <c r="S158" i="30"/>
  <c r="S157" i="30"/>
  <c r="S159" i="30"/>
  <c r="R64" i="30"/>
  <c r="R65" i="30"/>
  <c r="R158" i="30"/>
  <c r="R157" i="30"/>
  <c r="R159" i="30"/>
  <c r="R127" i="30"/>
  <c r="R128" i="30"/>
  <c r="R126" i="30"/>
  <c r="R97" i="30"/>
  <c r="R96" i="30"/>
  <c r="P95" i="30"/>
  <c r="P97" i="30"/>
  <c r="P96" i="30"/>
  <c r="O95" i="30"/>
  <c r="O97" i="30"/>
  <c r="O96" i="30"/>
  <c r="O66" i="30"/>
  <c r="O65" i="30"/>
  <c r="O64" i="30"/>
  <c r="P66" i="30"/>
  <c r="P65" i="30"/>
  <c r="P64" i="30"/>
  <c r="O62" i="30"/>
  <c r="O21" i="27" a="1"/>
  <c r="O21" i="27" s="1"/>
  <c r="P21" i="27" s="1"/>
  <c r="K30" i="25" a="1"/>
  <c r="K30" i="25" s="1"/>
  <c r="O20" i="27" a="1"/>
  <c r="O20" i="27" s="1"/>
  <c r="P20" i="27" s="1"/>
  <c r="J30" i="25" a="1"/>
  <c r="J30" i="25" s="1"/>
  <c r="O19" i="27" a="1"/>
  <c r="O19" i="27" s="1"/>
  <c r="P19" i="27" s="1"/>
  <c r="I30" i="25" a="1"/>
  <c r="I30" i="25" s="1"/>
  <c r="O18" i="27" a="1"/>
  <c r="O18" i="27" s="1"/>
  <c r="P18" i="27" s="1"/>
  <c r="H30" i="25"/>
  <c r="O17" i="27" a="1"/>
  <c r="O17" i="27" s="1"/>
  <c r="P17" i="27" s="1"/>
  <c r="G30" i="25" a="1"/>
  <c r="G30" i="25" s="1"/>
  <c r="E30" i="25" a="1"/>
  <c r="E30" i="25" s="1"/>
  <c r="F30" i="25" a="1"/>
  <c r="F30" i="25" s="1"/>
  <c r="K21" i="27" a="1"/>
  <c r="K21" i="27" s="1"/>
  <c r="L21" i="27" s="1"/>
  <c r="I30" i="26" a="1"/>
  <c r="I30" i="26" s="1"/>
  <c r="K20" i="27" a="1"/>
  <c r="K20" i="27" s="1"/>
  <c r="L20" i="27" s="1"/>
  <c r="H30" i="26" a="1"/>
  <c r="H30" i="26" s="1"/>
  <c r="K19" i="27" a="1"/>
  <c r="K19" i="27" s="1"/>
  <c r="L19" i="27" s="1"/>
  <c r="G30" i="26"/>
  <c r="K18" i="27" a="1"/>
  <c r="K18" i="27" s="1"/>
  <c r="L18" i="27" s="1"/>
  <c r="D30" i="26"/>
  <c r="K17" i="27" a="1"/>
  <c r="K17" i="27" s="1"/>
  <c r="L17" i="27" s="1"/>
  <c r="F30" i="26" a="1"/>
  <c r="F30" i="26" s="1"/>
  <c r="E30" i="26" a="1"/>
  <c r="E30" i="26" s="1"/>
  <c r="C30" i="26" a="1"/>
  <c r="C30" i="26" s="1"/>
  <c r="H20" i="27"/>
  <c r="G27" i="27" a="1"/>
  <c r="G27" i="27" s="1"/>
  <c r="H27" i="27" s="1"/>
  <c r="N34" i="23"/>
  <c r="G23" i="27" a="1"/>
  <c r="G23" i="27" s="1"/>
  <c r="H23" i="27" s="1"/>
  <c r="M34" i="23" a="1"/>
  <c r="M34" i="23" s="1"/>
  <c r="G26" i="27" a="1"/>
  <c r="G26" i="27" s="1"/>
  <c r="H26" i="27" s="1"/>
  <c r="L34" i="23" a="1"/>
  <c r="L34" i="23" s="1"/>
  <c r="G25" i="27" a="1"/>
  <c r="G25" i="27" s="1"/>
  <c r="H25" i="27" s="1"/>
  <c r="K34" i="23" a="1"/>
  <c r="K34" i="23" s="1"/>
  <c r="G24" i="27" a="1"/>
  <c r="G24" i="27" s="1"/>
  <c r="H24" i="27" s="1"/>
  <c r="J34" i="23" a="1"/>
  <c r="J34" i="23" s="1"/>
  <c r="H22" i="27"/>
  <c r="H34" i="23" a="1"/>
  <c r="H34" i="23" s="1"/>
  <c r="H19" i="27"/>
  <c r="G34" i="23" a="1"/>
  <c r="G34" i="23" s="1"/>
  <c r="H18" i="27"/>
  <c r="H17" i="27"/>
  <c r="F34" i="23"/>
  <c r="E34" i="23" a="1"/>
  <c r="E34" i="23" s="1"/>
  <c r="C34" i="23" a="1"/>
  <c r="C34" i="23" s="1"/>
  <c r="D34" i="23" a="1"/>
  <c r="D34" i="23" s="1"/>
  <c r="E63" i="12"/>
  <c r="AJ8" i="29" s="1"/>
  <c r="H36" i="29" s="1"/>
  <c r="D63" i="12"/>
  <c r="AI8" i="29" s="1"/>
  <c r="H35" i="29" s="1"/>
  <c r="J28" i="25"/>
  <c r="J59" i="21"/>
  <c r="I59" i="21"/>
  <c r="AC58" i="29" s="1"/>
  <c r="H59" i="21"/>
  <c r="G117" i="11"/>
  <c r="G118" i="11" s="1"/>
  <c r="G80" i="11"/>
  <c r="G81" i="11" s="1"/>
  <c r="G43" i="11"/>
  <c r="F43" i="11"/>
  <c r="G21" i="27" l="1" a="1"/>
  <c r="G21" i="27" s="1"/>
  <c r="H21" i="27" s="1"/>
  <c r="J60" i="21"/>
  <c r="AD58" i="29"/>
  <c r="I60" i="21"/>
  <c r="H60" i="21"/>
  <c r="AB58" i="29"/>
  <c r="AH7" i="29"/>
  <c r="F34" i="29" s="1"/>
  <c r="G44" i="11"/>
  <c r="D64" i="12"/>
  <c r="E64" i="12"/>
  <c r="J31" i="23" l="1"/>
  <c r="K31" i="23"/>
  <c r="L31" i="23"/>
  <c r="M31" i="23"/>
  <c r="N31" i="23"/>
  <c r="D28" i="26"/>
  <c r="E28" i="26"/>
  <c r="F28" i="26"/>
  <c r="G28" i="26"/>
  <c r="H28" i="26"/>
  <c r="I28" i="26"/>
  <c r="D61" i="13"/>
  <c r="E61" i="13"/>
  <c r="E62" i="13" s="1"/>
  <c r="F61" i="13"/>
  <c r="G61" i="13"/>
  <c r="G62" i="13" s="1"/>
  <c r="H61" i="13"/>
  <c r="I61" i="13"/>
  <c r="I62" i="13" s="1"/>
  <c r="J61" i="13"/>
  <c r="J62" i="13" s="1"/>
  <c r="K61" i="13"/>
  <c r="K62" i="13" s="1"/>
  <c r="L61" i="13"/>
  <c r="L62" i="13" s="1"/>
  <c r="M61" i="13"/>
  <c r="N61" i="13"/>
  <c r="O61" i="13"/>
  <c r="O62" i="13" s="1"/>
  <c r="P61" i="13"/>
  <c r="P62" i="13" s="1"/>
  <c r="Q61" i="13"/>
  <c r="R61" i="13"/>
  <c r="AU11" i="29" s="1"/>
  <c r="N47" i="29" s="1"/>
  <c r="D31" i="23"/>
  <c r="E31" i="23"/>
  <c r="F31" i="23"/>
  <c r="G31" i="23"/>
  <c r="H31" i="23"/>
  <c r="I31" i="23"/>
  <c r="F63" i="12"/>
  <c r="G63" i="12"/>
  <c r="G64" i="12" s="1"/>
  <c r="H63" i="12"/>
  <c r="I63" i="12"/>
  <c r="AM9" i="29" s="1"/>
  <c r="J39" i="29" s="1"/>
  <c r="J63" i="12"/>
  <c r="K63" i="12"/>
  <c r="L63" i="12"/>
  <c r="L64" i="12" s="1"/>
  <c r="M63" i="12"/>
  <c r="M64" i="12" s="1"/>
  <c r="N63" i="12"/>
  <c r="AR9" i="29" s="1"/>
  <c r="J44" i="29" s="1"/>
  <c r="O63" i="12"/>
  <c r="P63" i="12"/>
  <c r="AQ9" i="29" s="1"/>
  <c r="J43" i="29" s="1"/>
  <c r="Q63" i="12"/>
  <c r="AS9" i="29" s="1"/>
  <c r="J45" i="29" s="1"/>
  <c r="R63" i="12"/>
  <c r="S63" i="12"/>
  <c r="S64" i="12" s="1"/>
  <c r="T63" i="12"/>
  <c r="T64" i="12" s="1"/>
  <c r="F64" i="12" l="1"/>
  <c r="D62" i="13"/>
  <c r="AP9" i="29"/>
  <c r="J42" i="29" s="1"/>
  <c r="H62" i="13"/>
  <c r="AN9" i="29"/>
  <c r="J40" i="29" s="1"/>
  <c r="F62" i="13"/>
  <c r="M62" i="13"/>
  <c r="AO9" i="29"/>
  <c r="J41" i="29" s="1"/>
  <c r="K10" i="27"/>
  <c r="L10" i="27" s="1"/>
  <c r="AI57" i="29"/>
  <c r="N62" i="13"/>
  <c r="AL9" i="29"/>
  <c r="J38" i="29" s="1"/>
  <c r="R64" i="12"/>
  <c r="I64" i="12"/>
  <c r="N64" i="12"/>
  <c r="R62" i="13"/>
  <c r="O64" i="12"/>
  <c r="K64" i="12"/>
  <c r="J64" i="12"/>
  <c r="H64" i="12"/>
  <c r="Q62" i="13"/>
  <c r="Q64" i="12"/>
  <c r="M26" i="20"/>
  <c r="P64" i="12"/>
  <c r="M25" i="20"/>
  <c r="F18" i="1"/>
  <c r="E34" i="22"/>
  <c r="F34" i="22"/>
  <c r="C3" i="30" s="1"/>
  <c r="G34" i="22"/>
  <c r="G35" i="22" s="1"/>
  <c r="H34" i="22"/>
  <c r="H35" i="22" s="1"/>
  <c r="I34" i="22"/>
  <c r="I35" i="22" s="1"/>
  <c r="J34" i="22"/>
  <c r="J35" i="22" s="1"/>
  <c r="K34" i="22"/>
  <c r="K35" i="22" s="1"/>
  <c r="L34" i="22"/>
  <c r="L35" i="22" s="1"/>
  <c r="M34" i="22"/>
  <c r="M35" i="22" s="1"/>
  <c r="D117" i="11"/>
  <c r="F7" i="20" s="1"/>
  <c r="E117" i="11"/>
  <c r="F8" i="20" s="1"/>
  <c r="F117" i="11"/>
  <c r="F9" i="20" s="1"/>
  <c r="H117" i="11"/>
  <c r="F24" i="20" s="1"/>
  <c r="I117" i="11"/>
  <c r="J117" i="11"/>
  <c r="K117" i="11"/>
  <c r="L117" i="11"/>
  <c r="M117" i="11"/>
  <c r="N117" i="11"/>
  <c r="F15" i="20" s="1"/>
  <c r="O117" i="11"/>
  <c r="P117" i="11"/>
  <c r="Q117" i="11"/>
  <c r="R117" i="11"/>
  <c r="F20" i="20" s="1"/>
  <c r="S117" i="11"/>
  <c r="T117" i="11"/>
  <c r="D80" i="11"/>
  <c r="E80" i="11"/>
  <c r="F80" i="11"/>
  <c r="H80" i="11"/>
  <c r="I80" i="11"/>
  <c r="I81" i="11" s="1"/>
  <c r="J80" i="11"/>
  <c r="J81" i="11" s="1"/>
  <c r="K80" i="11"/>
  <c r="K81" i="11" s="1"/>
  <c r="L80" i="11"/>
  <c r="L81" i="11" s="1"/>
  <c r="M80" i="11"/>
  <c r="N80" i="11"/>
  <c r="O80" i="11"/>
  <c r="O81" i="11" s="1"/>
  <c r="P80" i="11"/>
  <c r="P81" i="11" s="1"/>
  <c r="Q80" i="11"/>
  <c r="Q81" i="11" s="1"/>
  <c r="R80" i="11"/>
  <c r="S80" i="11"/>
  <c r="S81" i="11" s="1"/>
  <c r="T80" i="11"/>
  <c r="T81" i="11" s="1"/>
  <c r="D43" i="11"/>
  <c r="E43" i="11"/>
  <c r="H43" i="11"/>
  <c r="I43" i="11"/>
  <c r="J43" i="11"/>
  <c r="J44" i="11" s="1"/>
  <c r="K43" i="11"/>
  <c r="L43" i="11"/>
  <c r="M43" i="11"/>
  <c r="N43" i="11"/>
  <c r="O43" i="11"/>
  <c r="O44" i="11" s="1"/>
  <c r="P43" i="11"/>
  <c r="P44" i="11" s="1"/>
  <c r="Q43" i="11"/>
  <c r="R43" i="11"/>
  <c r="S43" i="11"/>
  <c r="T43" i="11"/>
  <c r="AM10" i="29" l="1"/>
  <c r="L39" i="29" s="1"/>
  <c r="S118" i="11"/>
  <c r="F21" i="20"/>
  <c r="Q118" i="11"/>
  <c r="F18" i="20"/>
  <c r="M118" i="11"/>
  <c r="F14" i="20"/>
  <c r="AP10" i="29"/>
  <c r="L42" i="29" s="1"/>
  <c r="P118" i="11"/>
  <c r="F17" i="20"/>
  <c r="O118" i="11"/>
  <c r="F16" i="20"/>
  <c r="K118" i="11"/>
  <c r="F11" i="20"/>
  <c r="J118" i="11"/>
  <c r="F27" i="20"/>
  <c r="I118" i="11"/>
  <c r="F25" i="20"/>
  <c r="L118" i="11"/>
  <c r="F12" i="20"/>
  <c r="C11" i="27"/>
  <c r="D11" i="27" s="1"/>
  <c r="T118" i="11"/>
  <c r="F22" i="20"/>
  <c r="Z56" i="29"/>
  <c r="AA57" i="29" s="1"/>
  <c r="H44" i="11"/>
  <c r="AO10" i="29"/>
  <c r="L41" i="29" s="1"/>
  <c r="AN10" i="29"/>
  <c r="L40" i="29" s="1"/>
  <c r="AL10" i="29"/>
  <c r="L38" i="29" s="1"/>
  <c r="AS10" i="29"/>
  <c r="L45" i="29" s="1"/>
  <c r="AR10" i="29"/>
  <c r="L44" i="29" s="1"/>
  <c r="H118" i="11"/>
  <c r="E118" i="11"/>
  <c r="D118" i="11"/>
  <c r="I44" i="11"/>
  <c r="AQ10" i="29"/>
  <c r="L43" i="29" s="1"/>
  <c r="E44" i="11"/>
  <c r="H81" i="11"/>
  <c r="AG7" i="29"/>
  <c r="F33" i="29" s="1"/>
  <c r="E81" i="11"/>
  <c r="D81" i="11"/>
  <c r="T44" i="11"/>
  <c r="L44" i="11"/>
  <c r="N38" i="22"/>
  <c r="E35" i="22"/>
  <c r="D44" i="11"/>
  <c r="K44" i="11"/>
  <c r="M44" i="11"/>
  <c r="Q44" i="11"/>
  <c r="F118" i="11"/>
  <c r="R81" i="11"/>
  <c r="R118" i="11"/>
  <c r="R44" i="11"/>
  <c r="F81" i="11"/>
  <c r="N81" i="11"/>
  <c r="N118" i="11"/>
  <c r="N44" i="11"/>
  <c r="F44" i="11"/>
  <c r="S44" i="11"/>
  <c r="M81" i="11"/>
  <c r="F35" i="22"/>
  <c r="D59" i="21"/>
  <c r="E59" i="21"/>
  <c r="F59" i="21"/>
  <c r="G59" i="21"/>
  <c r="K59" i="21"/>
  <c r="L59" i="21"/>
  <c r="AF59" i="29" s="1"/>
  <c r="C59" i="21"/>
  <c r="O7" i="27" s="1"/>
  <c r="P7" i="27" s="1"/>
  <c r="C63" i="12"/>
  <c r="Q26" i="16"/>
  <c r="P26" i="16"/>
  <c r="Q25" i="16"/>
  <c r="P25" i="16"/>
  <c r="Q24" i="16"/>
  <c r="P24" i="16"/>
  <c r="Q23" i="16"/>
  <c r="P23" i="16"/>
  <c r="Q22" i="16"/>
  <c r="P22" i="16"/>
  <c r="Q21" i="16"/>
  <c r="P21" i="16"/>
  <c r="Q20" i="16"/>
  <c r="P20" i="16"/>
  <c r="Q19" i="16"/>
  <c r="P19" i="16"/>
  <c r="Q18" i="16"/>
  <c r="P18" i="16"/>
  <c r="Q17" i="16"/>
  <c r="P17" i="16"/>
  <c r="Q16" i="16"/>
  <c r="P16" i="16"/>
  <c r="Q15" i="16"/>
  <c r="P15" i="16"/>
  <c r="Q14" i="16"/>
  <c r="P14" i="16"/>
  <c r="Q13" i="16"/>
  <c r="P13" i="16"/>
  <c r="Q12" i="16"/>
  <c r="P12" i="16"/>
  <c r="Q11" i="16"/>
  <c r="P11" i="16"/>
  <c r="Q10" i="16"/>
  <c r="P10" i="16"/>
  <c r="Q9" i="16"/>
  <c r="P9" i="16"/>
  <c r="Q8" i="16"/>
  <c r="P8" i="16"/>
  <c r="Q7" i="16"/>
  <c r="P7" i="16"/>
  <c r="M8" i="16"/>
  <c r="N8" i="16"/>
  <c r="M9" i="16"/>
  <c r="N9" i="16"/>
  <c r="M10" i="16"/>
  <c r="N10" i="16"/>
  <c r="M11" i="16"/>
  <c r="N11" i="16"/>
  <c r="M12" i="16"/>
  <c r="N12" i="16"/>
  <c r="M13" i="16"/>
  <c r="N13" i="16"/>
  <c r="M14" i="16"/>
  <c r="N14" i="16"/>
  <c r="M15" i="16"/>
  <c r="N15" i="16"/>
  <c r="M16" i="16"/>
  <c r="N16" i="16"/>
  <c r="M17" i="16"/>
  <c r="N17" i="16"/>
  <c r="M18" i="16"/>
  <c r="N18" i="16"/>
  <c r="M19" i="16"/>
  <c r="N19" i="16"/>
  <c r="M20" i="16"/>
  <c r="N20" i="16"/>
  <c r="M21" i="16"/>
  <c r="N21" i="16"/>
  <c r="M22" i="16"/>
  <c r="N22" i="16"/>
  <c r="M23" i="16"/>
  <c r="N23" i="16"/>
  <c r="M24" i="16"/>
  <c r="N24" i="16"/>
  <c r="M25" i="16"/>
  <c r="N25" i="16"/>
  <c r="M26" i="16"/>
  <c r="N26" i="16"/>
  <c r="N7" i="16"/>
  <c r="M7" i="16"/>
  <c r="K8" i="16"/>
  <c r="K9" i="16"/>
  <c r="K10" i="16"/>
  <c r="K11" i="16"/>
  <c r="K12" i="16"/>
  <c r="K13" i="16"/>
  <c r="K14" i="16"/>
  <c r="K15" i="16"/>
  <c r="K16" i="16"/>
  <c r="K17" i="16"/>
  <c r="K18" i="16"/>
  <c r="K19" i="16"/>
  <c r="K20" i="16"/>
  <c r="K21" i="16"/>
  <c r="K22" i="16"/>
  <c r="K23" i="16"/>
  <c r="K24" i="16"/>
  <c r="K25" i="16"/>
  <c r="K26" i="16"/>
  <c r="K7" i="16"/>
  <c r="J8" i="16"/>
  <c r="J9" i="16"/>
  <c r="J10" i="16"/>
  <c r="J11" i="16"/>
  <c r="J12" i="16"/>
  <c r="J13" i="16"/>
  <c r="J14" i="16"/>
  <c r="J15" i="16"/>
  <c r="J16" i="16"/>
  <c r="J17" i="16"/>
  <c r="J18" i="16"/>
  <c r="J19" i="16"/>
  <c r="J7" i="16"/>
  <c r="C28" i="26"/>
  <c r="O6" i="27" l="1"/>
  <c r="P6" i="27" s="1"/>
  <c r="AY8" i="29"/>
  <c r="M5" i="20"/>
  <c r="G6" i="27"/>
  <c r="H6" i="27" s="1"/>
  <c r="G5" i="27"/>
  <c r="H5" i="27" s="1"/>
  <c r="G9" i="27"/>
  <c r="H9" i="27" s="1"/>
  <c r="G8" i="27"/>
  <c r="H8" i="27" s="1"/>
  <c r="G10" i="27"/>
  <c r="H10" i="27" s="1"/>
  <c r="G7" i="27"/>
  <c r="H7" i="27" s="1"/>
  <c r="O5" i="27"/>
  <c r="P5" i="27" s="1"/>
  <c r="C9" i="27"/>
  <c r="D9" i="27" s="1"/>
  <c r="AE59" i="29"/>
  <c r="O8" i="27"/>
  <c r="P8" i="27" s="1"/>
  <c r="K60" i="21"/>
  <c r="AH58" i="29"/>
  <c r="C60" i="21"/>
  <c r="G60" i="21"/>
  <c r="E60" i="21"/>
  <c r="AV10" i="29"/>
  <c r="L48" i="29" s="1"/>
  <c r="AW10" i="29"/>
  <c r="L60" i="21"/>
  <c r="D60" i="21"/>
  <c r="F60" i="21"/>
  <c r="C64" i="12"/>
  <c r="U10" i="16"/>
  <c r="N34" i="22"/>
  <c r="D9" i="22" s="1"/>
  <c r="AD22" i="16"/>
  <c r="AD11" i="16"/>
  <c r="U12" i="16"/>
  <c r="U18" i="16"/>
  <c r="Z19" i="16"/>
  <c r="Z11" i="16"/>
  <c r="AD24" i="16"/>
  <c r="U16" i="16"/>
  <c r="U24" i="16"/>
  <c r="AD12" i="16"/>
  <c r="AD20" i="16"/>
  <c r="AB18" i="16"/>
  <c r="V9" i="16"/>
  <c r="W26" i="16"/>
  <c r="Z23" i="16"/>
  <c r="AE11" i="16"/>
  <c r="AE19" i="16"/>
  <c r="W17" i="16"/>
  <c r="W9" i="16"/>
  <c r="V21" i="16"/>
  <c r="AD14" i="16"/>
  <c r="Y22" i="16"/>
  <c r="Y14" i="16"/>
  <c r="Z24" i="16"/>
  <c r="AA19" i="16"/>
  <c r="Z8" i="16"/>
  <c r="AE20" i="16"/>
  <c r="AB25" i="16"/>
  <c r="Z25" i="16"/>
  <c r="Z22" i="16"/>
  <c r="AA17" i="16"/>
  <c r="Z9" i="16"/>
  <c r="AD23" i="16"/>
  <c r="AD10" i="16"/>
  <c r="AD26" i="16"/>
  <c r="W14" i="16"/>
  <c r="W22" i="16"/>
  <c r="U14" i="16"/>
  <c r="AE8" i="16"/>
  <c r="T10" i="16"/>
  <c r="T24" i="16"/>
  <c r="V8" i="16"/>
  <c r="Z21" i="16"/>
  <c r="Z13" i="16"/>
  <c r="Y8" i="16"/>
  <c r="V19" i="16"/>
  <c r="AA18" i="16"/>
  <c r="Z20" i="16"/>
  <c r="U20" i="16"/>
  <c r="U8" i="16"/>
  <c r="AC13" i="16"/>
  <c r="AC21" i="16"/>
  <c r="AA10" i="16"/>
  <c r="V26" i="16"/>
  <c r="V18" i="16"/>
  <c r="V7" i="16"/>
  <c r="T7" i="16"/>
  <c r="AD21" i="16"/>
  <c r="AD8" i="16"/>
  <c r="AB10" i="16"/>
  <c r="AE26" i="16"/>
  <c r="V24" i="16"/>
  <c r="T8" i="16"/>
  <c r="W16" i="16"/>
  <c r="AC9" i="16"/>
  <c r="W12" i="16"/>
  <c r="Y16" i="16"/>
  <c r="Y13" i="16"/>
  <c r="AC17" i="16"/>
  <c r="W20" i="16"/>
  <c r="Y24" i="16"/>
  <c r="Z7" i="16"/>
  <c r="AA12" i="16"/>
  <c r="V14" i="16"/>
  <c r="AD16" i="16"/>
  <c r="V17" i="16"/>
  <c r="AD19" i="16"/>
  <c r="Y21" i="16"/>
  <c r="U22" i="16"/>
  <c r="AE24" i="16"/>
  <c r="Y7" i="16"/>
  <c r="W8" i="16"/>
  <c r="AA9" i="16"/>
  <c r="V11" i="16"/>
  <c r="Z12" i="16"/>
  <c r="AD13" i="16"/>
  <c r="Y15" i="16"/>
  <c r="T16" i="16"/>
  <c r="AA20" i="16"/>
  <c r="V22" i="16"/>
  <c r="Y23" i="16"/>
  <c r="AA26" i="16"/>
  <c r="AE7" i="16"/>
  <c r="W10" i="16"/>
  <c r="Z26" i="16"/>
  <c r="V12" i="16"/>
  <c r="AD7" i="16"/>
  <c r="V10" i="16"/>
  <c r="AA11" i="16"/>
  <c r="AE12" i="16"/>
  <c r="V13" i="16"/>
  <c r="Z14" i="16"/>
  <c r="AD15" i="16"/>
  <c r="V16" i="16"/>
  <c r="Z17" i="16"/>
  <c r="W18" i="16"/>
  <c r="AD18" i="16"/>
  <c r="W24" i="16"/>
  <c r="X9" i="16"/>
  <c r="Z10" i="16"/>
  <c r="W13" i="16"/>
  <c r="AB14" i="16"/>
  <c r="AE15" i="16"/>
  <c r="Z15" i="16"/>
  <c r="AE16" i="16"/>
  <c r="X17" i="16"/>
  <c r="Z18" i="16"/>
  <c r="T18" i="16"/>
  <c r="W21" i="16"/>
  <c r="AB22" i="16"/>
  <c r="AE23" i="16"/>
  <c r="AA25" i="16"/>
  <c r="X7" i="16"/>
  <c r="Y9" i="16"/>
  <c r="Y10" i="16"/>
  <c r="Y17" i="16"/>
  <c r="Y18" i="16"/>
  <c r="AB23" i="16"/>
  <c r="X25" i="16"/>
  <c r="AB8" i="16"/>
  <c r="AE9" i="16"/>
  <c r="AE10" i="16"/>
  <c r="X11" i="16"/>
  <c r="T12" i="16"/>
  <c r="W15" i="16"/>
  <c r="AC15" i="16"/>
  <c r="AB16" i="16"/>
  <c r="AE17" i="16"/>
  <c r="AE18" i="16"/>
  <c r="X19" i="16"/>
  <c r="T20" i="16"/>
  <c r="W23" i="16"/>
  <c r="AC23" i="16"/>
  <c r="Y25" i="16"/>
  <c r="T26" i="16"/>
  <c r="W7" i="16"/>
  <c r="AD9" i="16"/>
  <c r="Y11" i="16"/>
  <c r="Y12" i="16"/>
  <c r="AA13" i="16"/>
  <c r="AA14" i="16"/>
  <c r="V15" i="16"/>
  <c r="AD17" i="16"/>
  <c r="Y19" i="16"/>
  <c r="Y20" i="16"/>
  <c r="AA21" i="16"/>
  <c r="AA22" i="16"/>
  <c r="V23" i="16"/>
  <c r="AB24" i="16"/>
  <c r="AE25" i="16"/>
  <c r="Y26" i="16"/>
  <c r="U26" i="16"/>
  <c r="X13" i="16"/>
  <c r="T14" i="16"/>
  <c r="V20" i="16"/>
  <c r="X21" i="16"/>
  <c r="T22" i="16"/>
  <c r="AA15" i="16"/>
  <c r="AA16" i="16"/>
  <c r="AA23" i="16"/>
  <c r="W25" i="16"/>
  <c r="AD25" i="16"/>
  <c r="AA7" i="16"/>
  <c r="AA8" i="16"/>
  <c r="W11" i="16"/>
  <c r="AC11" i="16"/>
  <c r="AB12" i="16"/>
  <c r="AE13" i="16"/>
  <c r="AE14" i="16"/>
  <c r="X15" i="16"/>
  <c r="Z16" i="16"/>
  <c r="W19" i="16"/>
  <c r="AC19" i="16"/>
  <c r="AB20" i="16"/>
  <c r="AE21" i="16"/>
  <c r="AE22" i="16"/>
  <c r="X23" i="16"/>
  <c r="AA24" i="16"/>
  <c r="V25" i="16"/>
  <c r="AB26" i="16"/>
  <c r="AC8" i="16"/>
  <c r="AC10" i="16"/>
  <c r="AC12" i="16"/>
  <c r="AC14" i="16"/>
  <c r="AC16" i="16"/>
  <c r="AC18" i="16"/>
  <c r="AC20" i="16"/>
  <c r="AC22" i="16"/>
  <c r="AC24" i="16"/>
  <c r="AC26" i="16"/>
  <c r="AB7" i="16"/>
  <c r="X8" i="16"/>
  <c r="T9" i="16"/>
  <c r="AB9" i="16"/>
  <c r="X10" i="16"/>
  <c r="T11" i="16"/>
  <c r="AB11" i="16"/>
  <c r="X12" i="16"/>
  <c r="T13" i="16"/>
  <c r="AB13" i="16"/>
  <c r="X14" i="16"/>
  <c r="T15" i="16"/>
  <c r="AB15" i="16"/>
  <c r="X16" i="16"/>
  <c r="T17" i="16"/>
  <c r="AB17" i="16"/>
  <c r="X18" i="16"/>
  <c r="T19" i="16"/>
  <c r="AB19" i="16"/>
  <c r="X20" i="16"/>
  <c r="T21" i="16"/>
  <c r="AB21" i="16"/>
  <c r="X22" i="16"/>
  <c r="T23" i="16"/>
  <c r="X24" i="16"/>
  <c r="T25" i="16"/>
  <c r="X26" i="16"/>
  <c r="U7" i="16"/>
  <c r="AC7" i="16"/>
  <c r="U9" i="16"/>
  <c r="U11" i="16"/>
  <c r="U13" i="16"/>
  <c r="U15" i="16"/>
  <c r="U17" i="16"/>
  <c r="U19" i="16"/>
  <c r="U21" i="16"/>
  <c r="U23" i="16"/>
  <c r="U25" i="16"/>
  <c r="AC25" i="16"/>
  <c r="G16" i="27" l="1" a="1"/>
  <c r="G16" i="27" s="1"/>
  <c r="H16" i="27" s="1"/>
  <c r="C16" i="27" a="1"/>
  <c r="C16" i="27" s="1"/>
  <c r="D16" i="27" s="1"/>
  <c r="C22" i="27" a="1"/>
  <c r="C22" i="27" s="1"/>
  <c r="D22" i="27" s="1"/>
  <c r="AX10" i="29"/>
  <c r="Q9" i="29"/>
  <c r="Y69" i="29"/>
  <c r="Y71" i="29"/>
  <c r="Y68" i="29"/>
  <c r="Y70" i="29"/>
  <c r="Y63" i="29"/>
  <c r="Z63" i="29" s="1"/>
  <c r="Y62" i="29"/>
  <c r="Z62" i="29" s="1"/>
  <c r="AG59" i="29"/>
  <c r="AG58" i="29"/>
  <c r="Y65" i="29"/>
  <c r="Z65" i="29" s="1"/>
  <c r="Y64" i="29"/>
  <c r="Z64" i="29" s="1"/>
  <c r="K16" i="27" a="1"/>
  <c r="K16" i="27" s="1"/>
  <c r="L16" i="27" s="1"/>
  <c r="O16" i="27" a="1"/>
  <c r="O16" i="27" s="1"/>
  <c r="P16" i="27" s="1"/>
  <c r="C21" i="27"/>
  <c r="D21" i="27" s="1"/>
  <c r="C25" i="27" a="1"/>
  <c r="C25" i="27" s="1"/>
  <c r="D25" i="27" s="1"/>
  <c r="C24" i="27" a="1"/>
  <c r="C24" i="27" s="1"/>
  <c r="D24" i="27" s="1"/>
  <c r="C23" i="27" a="1"/>
  <c r="C23" i="27" s="1"/>
  <c r="D23" i="27" s="1"/>
  <c r="C20" i="27"/>
  <c r="D20" i="27" s="1"/>
  <c r="C19" i="27"/>
  <c r="D19" i="27" s="1"/>
  <c r="C18" i="27"/>
  <c r="D18" i="27" s="1"/>
  <c r="C17" i="27" a="1"/>
  <c r="C17" i="27" s="1"/>
  <c r="D17" i="27" s="1"/>
  <c r="E17" i="16"/>
  <c r="E21" i="16"/>
  <c r="D23" i="16"/>
  <c r="E20" i="16"/>
  <c r="E16" i="16"/>
  <c r="E19" i="16"/>
  <c r="E12" i="16"/>
  <c r="D25" i="16"/>
  <c r="E13" i="16"/>
  <c r="D24" i="16"/>
  <c r="E11" i="16"/>
  <c r="E15" i="16"/>
  <c r="F28" i="25"/>
  <c r="G28" i="25"/>
  <c r="H28" i="25"/>
  <c r="I28" i="25"/>
  <c r="K28" i="25"/>
  <c r="E28" i="25"/>
  <c r="C31" i="23"/>
  <c r="D34" i="22"/>
  <c r="D35" i="22" s="1"/>
  <c r="T5" i="20" l="1"/>
  <c r="T8" i="20"/>
  <c r="T11" i="20"/>
  <c r="T9" i="20"/>
  <c r="T6" i="20"/>
  <c r="T7" i="20"/>
  <c r="T12" i="20"/>
  <c r="M24" i="20"/>
  <c r="C61" i="13" l="1"/>
  <c r="C80" i="11"/>
  <c r="AC6" i="29" s="1"/>
  <c r="D29" i="29" s="1"/>
  <c r="AT11" i="29" l="1"/>
  <c r="N46" i="29" s="1"/>
  <c r="K6" i="27"/>
  <c r="L6" i="27" s="1"/>
  <c r="K5" i="27"/>
  <c r="L5" i="27" s="1"/>
  <c r="K9" i="27"/>
  <c r="L9" i="27" s="1"/>
  <c r="K8" i="27"/>
  <c r="L8" i="27" s="1"/>
  <c r="K7" i="27"/>
  <c r="L7" i="27" s="1"/>
  <c r="AW14" i="29"/>
  <c r="AX14" i="29" s="1"/>
  <c r="AW11" i="29"/>
  <c r="Q10" i="29" s="1"/>
  <c r="AV11" i="29"/>
  <c r="N48" i="29" s="1"/>
  <c r="C81" i="11"/>
  <c r="C62" i="13"/>
  <c r="E22" i="20"/>
  <c r="E21" i="20"/>
  <c r="Q22" i="20"/>
  <c r="Q17" i="20"/>
  <c r="Q16" i="20"/>
  <c r="Q15" i="20"/>
  <c r="Q8" i="20"/>
  <c r="Q14" i="20"/>
  <c r="Q7" i="20"/>
  <c r="Q13" i="20"/>
  <c r="Q11" i="20"/>
  <c r="Q19" i="20"/>
  <c r="Q10" i="20"/>
  <c r="Q25" i="20"/>
  <c r="Q23" i="20"/>
  <c r="D24" i="20"/>
  <c r="D7" i="20"/>
  <c r="D25" i="20"/>
  <c r="D17" i="20"/>
  <c r="D18" i="20"/>
  <c r="D14" i="20"/>
  <c r="D12" i="20"/>
  <c r="D22" i="20"/>
  <c r="D8" i="20"/>
  <c r="D21" i="20"/>
  <c r="D16" i="20"/>
  <c r="D27" i="20"/>
  <c r="D20" i="20"/>
  <c r="Q21" i="20"/>
  <c r="E20" i="20"/>
  <c r="Q5" i="20"/>
  <c r="D11" i="20"/>
  <c r="D9" i="20"/>
  <c r="E5" i="20"/>
  <c r="D15" i="20"/>
  <c r="AX11" i="29" l="1"/>
  <c r="I21" i="20"/>
  <c r="I20" i="20"/>
  <c r="I22" i="20"/>
  <c r="E9" i="20" l="1"/>
  <c r="I9" i="20" s="1"/>
  <c r="M22" i="20"/>
  <c r="M15" i="20" l="1"/>
  <c r="M13" i="20"/>
  <c r="M11" i="20"/>
  <c r="M21" i="20"/>
  <c r="M20" i="20"/>
  <c r="M8" i="20"/>
  <c r="M18" i="20"/>
  <c r="M10" i="20"/>
  <c r="M19" i="20"/>
  <c r="M7" i="20"/>
  <c r="C117" i="11" l="1"/>
  <c r="F5" i="20" l="1"/>
  <c r="AD6" i="29"/>
  <c r="D30" i="29" s="1"/>
  <c r="AW9" i="29"/>
  <c r="AK8" i="29"/>
  <c r="H37" i="29" s="1"/>
  <c r="AV9" i="29"/>
  <c r="J48" i="29" s="1"/>
  <c r="AW8" i="29"/>
  <c r="AV8" i="29"/>
  <c r="H48" i="29" s="1"/>
  <c r="C118" i="11"/>
  <c r="E12" i="20"/>
  <c r="I12" i="20" s="1"/>
  <c r="E16" i="20"/>
  <c r="I16" i="20" s="1"/>
  <c r="E27" i="20"/>
  <c r="I27" i="20" s="1"/>
  <c r="E17" i="20"/>
  <c r="I17" i="20" s="1"/>
  <c r="E18" i="20"/>
  <c r="I18" i="20" s="1"/>
  <c r="E14" i="20"/>
  <c r="I14" i="20" s="1"/>
  <c r="E24" i="20"/>
  <c r="I24" i="20" s="1"/>
  <c r="E7" i="20"/>
  <c r="I7" i="20" s="1"/>
  <c r="E15" i="20"/>
  <c r="I15" i="20" s="1"/>
  <c r="E8" i="20"/>
  <c r="I8" i="20" s="1"/>
  <c r="E25" i="20"/>
  <c r="I25" i="20" s="1"/>
  <c r="E11" i="20"/>
  <c r="I11" i="20" s="1"/>
  <c r="AX8" i="29" l="1"/>
  <c r="Q7" i="29"/>
  <c r="AX9" i="29"/>
  <c r="Q8" i="29"/>
  <c r="M16" i="20" l="1"/>
  <c r="C43" i="11"/>
  <c r="D8" i="15" l="1"/>
  <c r="AB6" i="29"/>
  <c r="AF12" i="29" s="1"/>
  <c r="C8" i="27"/>
  <c r="D8" i="27" s="1"/>
  <c r="C7" i="27"/>
  <c r="D7" i="27" s="1"/>
  <c r="C12" i="27"/>
  <c r="D12" i="27" s="1"/>
  <c r="C5" i="27"/>
  <c r="D5" i="27" s="1"/>
  <c r="C6" i="27"/>
  <c r="D6" i="27" s="1"/>
  <c r="C10" i="27"/>
  <c r="D10" i="27" s="1"/>
  <c r="AW7" i="29"/>
  <c r="Q6" i="29" s="1"/>
  <c r="AW13" i="29"/>
  <c r="AX13" i="29" s="1"/>
  <c r="C44" i="11"/>
  <c r="D5" i="20"/>
  <c r="I5" i="20" s="1"/>
  <c r="AV7" i="29" l="1"/>
  <c r="F48" i="29" s="1"/>
  <c r="F8" i="15"/>
  <c r="H8" i="15"/>
  <c r="D28" i="29"/>
  <c r="AC12" i="29"/>
  <c r="AB12" i="29"/>
  <c r="AE12" i="29"/>
  <c r="AD12" i="29"/>
  <c r="AX7"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<sst xmlns="http://schemas.openxmlformats.org/spreadsheetml/2006/main" count="996" uniqueCount="394">
  <si>
    <t>Location Address:</t>
  </si>
  <si>
    <t>CATEGORY</t>
  </si>
  <si>
    <t>Diagnostic Cascade Evaluation (DiCE) Toolkit: User Guide</t>
  </si>
  <si>
    <t>INTRODUCTION</t>
  </si>
  <si>
    <t>USING THE TOOL</t>
  </si>
  <si>
    <t>AFB (+)</t>
  </si>
  <si>
    <t>AFB (-)</t>
  </si>
  <si>
    <t>Treatment Outcome</t>
  </si>
  <si>
    <t>HIV Status</t>
  </si>
  <si>
    <t>P1</t>
  </si>
  <si>
    <t>P2</t>
  </si>
  <si>
    <t>P3</t>
  </si>
  <si>
    <t>P4</t>
  </si>
  <si>
    <t>Sex</t>
  </si>
  <si>
    <t>Age</t>
  </si>
  <si>
    <t>Specimen information</t>
  </si>
  <si>
    <t>AFB Result</t>
  </si>
  <si>
    <t>Specimen Information</t>
  </si>
  <si>
    <t>Age (0 - 14)</t>
  </si>
  <si>
    <t>Age (15+)</t>
  </si>
  <si>
    <t>On ART</t>
  </si>
  <si>
    <t>HIV Facility
 Name</t>
  </si>
  <si>
    <t>Facility POC
 Email</t>
  </si>
  <si>
    <t>TB Facility 
Name</t>
  </si>
  <si>
    <t>Facility POC 
Email</t>
  </si>
  <si>
    <t>Facility POC 
Name</t>
  </si>
  <si>
    <t>Facility POC
 Number</t>
  </si>
  <si>
    <t>Facility POC 
Number</t>
  </si>
  <si>
    <t>Laboratory 
Name</t>
  </si>
  <si>
    <t>Name of Collector #1</t>
  </si>
  <si>
    <t>Name of Collector #2</t>
  </si>
  <si>
    <t>Name of Collector #3</t>
  </si>
  <si>
    <t>P5</t>
  </si>
  <si>
    <t>P6</t>
  </si>
  <si>
    <t>P7</t>
  </si>
  <si>
    <t>P8</t>
  </si>
  <si>
    <t>P9</t>
  </si>
  <si>
    <t>P10</t>
  </si>
  <si>
    <t>P11</t>
  </si>
  <si>
    <t>P12</t>
  </si>
  <si>
    <t>P13</t>
  </si>
  <si>
    <t>P14</t>
  </si>
  <si>
    <t>P15</t>
  </si>
  <si>
    <t>P16</t>
  </si>
  <si>
    <t>P17</t>
  </si>
  <si>
    <t>P18</t>
  </si>
  <si>
    <t>P19</t>
  </si>
  <si>
    <t>P20</t>
  </si>
  <si>
    <t>MTB Not Detected</t>
  </si>
  <si>
    <t>Positive</t>
  </si>
  <si>
    <t>Negative</t>
  </si>
  <si>
    <t>Available in Register?</t>
  </si>
  <si>
    <t>Available in Lab Register?</t>
  </si>
  <si>
    <t>Age 0-14</t>
  </si>
  <si>
    <t xml:space="preserve">Age 15+ </t>
  </si>
  <si>
    <t>Smear Activities</t>
  </si>
  <si>
    <t>Not Tested</t>
  </si>
  <si>
    <t>Known HIV Status</t>
  </si>
  <si>
    <t>Unknown HIV Status</t>
  </si>
  <si>
    <t>Register Page #</t>
  </si>
  <si>
    <t>Total Specimens</t>
  </si>
  <si>
    <t>Age 15+</t>
  </si>
  <si>
    <t>TB TREATMENT REGISTER JOB AID</t>
  </si>
  <si>
    <t xml:space="preserve">Total Patients </t>
  </si>
  <si>
    <t>Type of Patient</t>
  </si>
  <si>
    <t>Transferred Out</t>
  </si>
  <si>
    <t>Unknown</t>
  </si>
  <si>
    <t>TB/HIV Activities</t>
  </si>
  <si>
    <t>HIV Care Provided</t>
  </si>
  <si>
    <t>MTB Detected, RIF Resistance Not Detected</t>
  </si>
  <si>
    <t>MTB Detected, RIF Resistance Detected</t>
  </si>
  <si>
    <t>MTB Detected, RIF Resistance Indeterminate</t>
  </si>
  <si>
    <t>Total Patients</t>
  </si>
  <si>
    <t>Specimen Collection Documented</t>
  </si>
  <si>
    <t>LAB REGISTER: AGGREGATE-LEVEL DATA</t>
  </si>
  <si>
    <t>LAB REGISTER: PATIENT-LEVEL DATA</t>
  </si>
  <si>
    <r>
      <rPr>
        <b/>
        <u/>
        <sz val="11"/>
        <color theme="1"/>
        <rFont val="Calibri"/>
        <family val="2"/>
        <scheme val="minor"/>
      </rPr>
      <t>Instructions:</t>
    </r>
    <r>
      <rPr>
        <b/>
        <sz val="11"/>
        <color theme="1"/>
        <rFont val="Calibri"/>
        <family val="2"/>
        <scheme val="minor"/>
      </rPr>
      <t xml:space="preserve"> </t>
    </r>
    <r>
      <rPr>
        <sz val="11"/>
        <color theme="1"/>
        <rFont val="Calibri"/>
        <family val="2"/>
        <scheme val="minor"/>
      </rPr>
      <t xml:space="preserve">
</t>
    </r>
  </si>
  <si>
    <r>
      <t xml:space="preserve">2. Only collect data on entries where the purpose for testing is diagnosis; follow-up tests should </t>
    </r>
    <r>
      <rPr>
        <b/>
        <u/>
        <sz val="11"/>
        <color rgb="FFFF0000"/>
        <rFont val="Calibri"/>
        <family val="2"/>
        <scheme val="minor"/>
      </rPr>
      <t>not</t>
    </r>
    <r>
      <rPr>
        <sz val="11"/>
        <color theme="1"/>
        <rFont val="Calibri"/>
        <family val="2"/>
        <scheme val="minor"/>
      </rPr>
      <t xml:space="preserve"> be recorded. </t>
    </r>
  </si>
  <si>
    <t>TB TREATMENT REGISTER: AGGREGATE-LEVEL DATA</t>
  </si>
  <si>
    <t>TB TREATMENT REGISTER: PATIENT-LEVEL DATA</t>
  </si>
  <si>
    <t>TB TREATMENT REGISTER: AGGREGATE-LEVEL</t>
  </si>
  <si>
    <t>TB TREATMENT REGISTER: PATIENT-LEVEL</t>
  </si>
  <si>
    <t>PRESUMPTIVE TB REGISTER: AGGREGATE-LEVEL DATA</t>
  </si>
  <si>
    <t>PRESUMPTIVE TB REGISTER: PATIENT-LEVEL DATA</t>
  </si>
  <si>
    <t>Total</t>
  </si>
  <si>
    <t>TB CLINIC PRESUMPTIVE TB REGISTER: AGGREGATE-LEVEL</t>
  </si>
  <si>
    <t>TB CLINIC PRESUMPTIVE TB REGISTER: PATIENT-LEVEL</t>
  </si>
  <si>
    <r>
      <t xml:space="preserve">LAB REGISTER: AGGREGATE-LEVEL
</t>
    </r>
    <r>
      <rPr>
        <b/>
        <i/>
        <sz val="12"/>
        <color theme="0"/>
        <rFont val="Calibri"/>
        <family val="2"/>
        <scheme val="minor"/>
      </rPr>
      <t>-Diagnosis testing only, excluding referral site samples-</t>
    </r>
  </si>
  <si>
    <t>Documented Specimens Collected</t>
  </si>
  <si>
    <t>Specimen</t>
  </si>
  <si>
    <t>Number Specimens Collected</t>
  </si>
  <si>
    <t>Designed by Jamie Dawson (CDC/CGH/DGHT/ILB)
and Meaghan Peterson (CDC/CGH/DGHT/GTB)</t>
  </si>
  <si>
    <t>Average</t>
  </si>
  <si>
    <t>DATA AGREEMENT ANALYSIS (PATIENT-LEVEL)</t>
  </si>
  <si>
    <t>Presumptive TB Register</t>
  </si>
  <si>
    <t>Lab Register</t>
  </si>
  <si>
    <t>TB Treatment Register</t>
  </si>
  <si>
    <t xml:space="preserve">   Sex</t>
  </si>
  <si>
    <t xml:space="preserve">   Age</t>
  </si>
  <si>
    <t xml:space="preserve">   Sex </t>
  </si>
  <si>
    <t xml:space="preserve">Color Legend: </t>
  </si>
  <si>
    <t>Presumptive TB Register / TB Treatment Register</t>
  </si>
  <si>
    <t>Presumptive TB Register / Lab Register</t>
  </si>
  <si>
    <t>Lab Register / TB Treatment Register</t>
  </si>
  <si>
    <t xml:space="preserve">Overall </t>
  </si>
  <si>
    <t>AGREEMENT SUMMARY</t>
  </si>
  <si>
    <t xml:space="preserve">Sex </t>
  </si>
  <si>
    <t xml:space="preserve">Type of Assessment: </t>
  </si>
  <si>
    <t xml:space="preserve">Additional Participants: </t>
  </si>
  <si>
    <t>Date of Data Collection:</t>
  </si>
  <si>
    <t xml:space="preserve">1. Gather lab registers for designated data abstraction period. </t>
  </si>
  <si>
    <t>Total Presumptive TB</t>
  </si>
  <si>
    <t>The purpose of this toolkit is to identify points in the TB diagnostic cascade where failures in clinic-lab interface may prevent the initiation of TB treatment in individuals with active TB disease. The diagnostic cascade refers to a step-wise process that spans the initial presentation of an individual with presumptive TB to the ultimate initiation of TB treatment, and encompasses all intermediate steps. This toolkit is designed as a first step in procedural improvement and should be followed with planned conversation and development of action plans with implementing partners. The intended targets for these activities are sites supported by the President's Emergency Plan for AIDS Relief (PEPFAR).</t>
  </si>
  <si>
    <t xml:space="preserve">This tab is intended to compare patient-level data elements that appear in multiple sources for concordance. This can be useful in ensuring the same individual was traced through all data sources; it can also help highlight weaknesses in recording practices if many inconsistent entries are observed. </t>
  </si>
  <si>
    <t xml:space="preserve">1. Gather Presumptive TB Registers for data abstraction period. </t>
  </si>
  <si>
    <t>Date of Specimen Collection*</t>
  </si>
  <si>
    <t>Date Specimen was Sent to Lab*</t>
  </si>
  <si>
    <t>Date specimen received by lab*</t>
  </si>
  <si>
    <t>Date of Registration*</t>
  </si>
  <si>
    <t>Date Treatment Started*</t>
  </si>
  <si>
    <t>*Date format: dd-mmm-yy (ex. 30-Mar-19)</t>
  </si>
  <si>
    <t>ART Care</t>
  </si>
  <si>
    <t>MTB Not Detected
(N)</t>
  </si>
  <si>
    <t>Microscopy</t>
  </si>
  <si>
    <r>
      <t xml:space="preserve">MTB Detected
</t>
    </r>
    <r>
      <rPr>
        <sz val="8"/>
        <color theme="1"/>
        <rFont val="Calibri"/>
        <family val="2"/>
        <scheme val="minor"/>
      </rPr>
      <t>(including trace)</t>
    </r>
    <r>
      <rPr>
        <b/>
        <sz val="11"/>
        <color theme="1"/>
        <rFont val="Calibri"/>
        <family val="2"/>
        <scheme val="minor"/>
      </rPr>
      <t>, 
RIF Resistance not Detected
(T)</t>
    </r>
  </si>
  <si>
    <r>
      <t xml:space="preserve">MTB Detected </t>
    </r>
    <r>
      <rPr>
        <sz val="8"/>
        <color theme="1"/>
        <rFont val="Calibri"/>
        <family val="2"/>
        <scheme val="minor"/>
      </rPr>
      <t>(including trace)</t>
    </r>
    <r>
      <rPr>
        <b/>
        <sz val="11"/>
        <color theme="1"/>
        <rFont val="Calibri"/>
        <family val="2"/>
        <scheme val="minor"/>
      </rPr>
      <t>, 
RIF Resistance Detected
(RR)</t>
    </r>
  </si>
  <si>
    <r>
      <t xml:space="preserve">MTB Detected </t>
    </r>
    <r>
      <rPr>
        <sz val="8"/>
        <color theme="1"/>
        <rFont val="Calibri"/>
        <family val="2"/>
        <scheme val="minor"/>
      </rPr>
      <t>(including trace)</t>
    </r>
    <r>
      <rPr>
        <b/>
        <sz val="11"/>
        <color theme="1"/>
        <rFont val="Calibri"/>
        <family val="2"/>
        <scheme val="minor"/>
      </rPr>
      <t>, 
RIF Resistance Indeterminate
(TI)</t>
    </r>
  </si>
  <si>
    <t>Smear</t>
  </si>
  <si>
    <t>Error/Incomplete/Invalid</t>
  </si>
  <si>
    <t>TB LAM</t>
  </si>
  <si>
    <t>LAM Positive</t>
  </si>
  <si>
    <t>LAM Negative</t>
  </si>
  <si>
    <t>Invalid</t>
  </si>
  <si>
    <t>HIV Positive</t>
  </si>
  <si>
    <t>HIV Negative</t>
  </si>
  <si>
    <t>TB Lam Activities</t>
  </si>
  <si>
    <t>Smear Negative (-)</t>
  </si>
  <si>
    <t>Sputum Smear Results</t>
  </si>
  <si>
    <t>Pre - Rx</t>
  </si>
  <si>
    <t>Known HIV Positive (KPos)</t>
  </si>
  <si>
    <t>Negative (Neg)</t>
  </si>
  <si>
    <t>Newly Tested HIV Positive (NPos)</t>
  </si>
  <si>
    <t>Unknown (Unk)</t>
  </si>
  <si>
    <t>Enrolled in ART</t>
  </si>
  <si>
    <r>
      <t xml:space="preserve">  - Only collect data on entries where the purpose for testing is diagnosis; follow-up tests should </t>
    </r>
    <r>
      <rPr>
        <b/>
        <u/>
        <sz val="11"/>
        <color rgb="FFFF0000"/>
        <rFont val="Calibri"/>
        <family val="2"/>
        <scheme val="minor"/>
      </rPr>
      <t>not</t>
    </r>
    <r>
      <rPr>
        <sz val="11"/>
        <color theme="1"/>
        <rFont val="Calibri"/>
        <family val="2"/>
        <scheme val="minor"/>
      </rPr>
      <t xml:space="preserve"> be recorded. </t>
    </r>
  </si>
  <si>
    <t xml:space="preserve">Instructions: </t>
  </si>
  <si>
    <t>AGGREGATE DATA COLLECTION: LAB REGISTER</t>
  </si>
  <si>
    <t xml:space="preserve">Note: </t>
  </si>
  <si>
    <t xml:space="preserve">   2. Count the page totals for each field and record them here. Each row on this page will represent sums from one page of a register; sections are provided for discrete time periods.</t>
  </si>
  <si>
    <t xml:space="preserve">   1. Gather Presumptive TB Registers for designated data abstraction period. </t>
  </si>
  <si>
    <t xml:space="preserve">   1. Gather TB Lab Registers for designated data abstraction period. </t>
  </si>
  <si>
    <t>AGGREGATE DATA COLLECTION: PRESUMPTIVE TB REGISTER</t>
  </si>
  <si>
    <t>Error/Invalid/Incomplete Test</t>
  </si>
  <si>
    <t xml:space="preserve">   1. Gather TB Treatment registers for designated data abstraction period. </t>
  </si>
  <si>
    <t>LAM Invalid</t>
  </si>
  <si>
    <t>LAM Result</t>
  </si>
  <si>
    <t>AFB</t>
  </si>
  <si>
    <t>TB LAM Activities</t>
  </si>
  <si>
    <t>TPT REGISTER JOB AID</t>
  </si>
  <si>
    <t>Outcome</t>
  </si>
  <si>
    <t xml:space="preserve">PLHIV on follow-up visit for HIV care and treatment </t>
  </si>
  <si>
    <t>Transferred out</t>
  </si>
  <si>
    <r>
      <t xml:space="preserve">  - Only collect data on entries where the purpose for testing is diagnosis; follow-up tests should </t>
    </r>
    <r>
      <rPr>
        <b/>
        <u/>
        <sz val="11"/>
        <rFont val="Calibri"/>
        <family val="2"/>
        <scheme val="minor"/>
      </rPr>
      <t>not</t>
    </r>
    <r>
      <rPr>
        <sz val="11"/>
        <rFont val="Calibri"/>
        <family val="2"/>
        <scheme val="minor"/>
      </rPr>
      <t xml:space="preserve"> be recorded. </t>
    </r>
  </si>
  <si>
    <r>
      <t xml:space="preserve">  - Only collect data on entries where the specimen originated from the TB/HIV clinics visited for this assessment. Samples referred from elsewhere should </t>
    </r>
    <r>
      <rPr>
        <b/>
        <u/>
        <sz val="11"/>
        <rFont val="Calibri"/>
        <family val="2"/>
        <scheme val="minor"/>
      </rPr>
      <t>not</t>
    </r>
    <r>
      <rPr>
        <sz val="11"/>
        <rFont val="Calibri"/>
        <family val="2"/>
        <scheme val="minor"/>
      </rPr>
      <t xml:space="preserve"> be recorded</t>
    </r>
    <r>
      <rPr>
        <b/>
        <sz val="11"/>
        <rFont val="Calibri"/>
        <family val="2"/>
        <scheme val="minor"/>
      </rPr>
      <t xml:space="preserve">. </t>
    </r>
  </si>
  <si>
    <t>TPT Started</t>
  </si>
  <si>
    <t xml:space="preserve">   0-14</t>
  </si>
  <si>
    <t xml:space="preserve">   15+</t>
  </si>
  <si>
    <t xml:space="preserve">   New on ART</t>
  </si>
  <si>
    <t xml:space="preserve">   Existing on ART</t>
  </si>
  <si>
    <t xml:space="preserve">   Completed TPT</t>
  </si>
  <si>
    <t xml:space="preserve">   Transferred Out</t>
  </si>
  <si>
    <t>TPT Descriptive Details</t>
  </si>
  <si>
    <t>1. ASSESSMENT PROFILE</t>
  </si>
  <si>
    <t>CONTENTS</t>
  </si>
  <si>
    <t>TPT REGISTER: AGGREGATE-LEVEL DATA</t>
  </si>
  <si>
    <t xml:space="preserve">Data entered in tabs 5-8 will be summarized in table format here. </t>
  </si>
  <si>
    <t>5a. PRESUMPTIVE REGISTER - AGG</t>
  </si>
  <si>
    <t>6a. LAB REGISTER - AGG</t>
  </si>
  <si>
    <t>7a. TB TX REGISTER - AGG</t>
  </si>
  <si>
    <t>8a. TPT REGISTER - AGG</t>
  </si>
  <si>
    <t>5b. PRESUMPTIVE REGISTER - PL</t>
  </si>
  <si>
    <t>6b. LAB REGISTER - PL</t>
  </si>
  <si>
    <t>7b. TB TX REGISTER - PL</t>
  </si>
  <si>
    <t xml:space="preserve">   1. Gather TPT registers for designated data abstraction period. </t>
  </si>
  <si>
    <t xml:space="preserve">Patient-level data is auto-populated from data entry cells on PL data entry tabs. Blank cells indicate no data collected during abstraction. </t>
  </si>
  <si>
    <t>PATIENT</t>
  </si>
  <si>
    <t>Age 
(&lt;15, 15+)</t>
  </si>
  <si>
    <t>Date TB Result Released*</t>
  </si>
  <si>
    <t>Complete</t>
  </si>
  <si>
    <r>
      <rPr>
        <b/>
        <u/>
        <sz val="11"/>
        <rFont val="Calibri"/>
        <family val="2"/>
        <scheme val="minor"/>
      </rPr>
      <t>Instructions</t>
    </r>
    <r>
      <rPr>
        <sz val="11"/>
        <rFont val="Calibri"/>
        <family val="2"/>
        <scheme val="minor"/>
      </rPr>
      <t xml:space="preserve">: </t>
    </r>
  </si>
  <si>
    <t>Patient</t>
  </si>
  <si>
    <t>Date Lab Results Released*</t>
  </si>
  <si>
    <t>Type of Specimen</t>
  </si>
  <si>
    <t>Type of Test</t>
  </si>
  <si>
    <r>
      <rPr>
        <b/>
        <sz val="14"/>
        <color theme="0"/>
        <rFont val="Calibri"/>
        <family val="2"/>
        <scheme val="minor"/>
      </rPr>
      <t>LAB REGISTER: PATIENT-LEVEL (</t>
    </r>
    <r>
      <rPr>
        <b/>
        <u/>
        <sz val="14"/>
        <color theme="0"/>
        <rFont val="Calibri"/>
        <family val="2"/>
        <scheme val="minor"/>
      </rPr>
      <t>ONLY</t>
    </r>
    <r>
      <rPr>
        <b/>
        <sz val="14"/>
        <color theme="0"/>
        <rFont val="Calibri"/>
        <family val="2"/>
        <scheme val="minor"/>
      </rPr>
      <t xml:space="preserve"> DIAGNOSTIC TESTING)</t>
    </r>
  </si>
  <si>
    <t xml:space="preserve">Complete </t>
  </si>
  <si>
    <t>TURNAROUND TIME ANALYSIS (PATIENT-LEVEL)</t>
  </si>
  <si>
    <t>Age
(&lt;15, 15+)</t>
  </si>
  <si>
    <t>1. Gather TB Treatment registers for designated data abstraction period and abstract for patients in selected sample.</t>
  </si>
  <si>
    <t>Available in TPT Register?</t>
  </si>
  <si>
    <t>Date TPT Started*</t>
  </si>
  <si>
    <t>New/Existing ART Patient</t>
  </si>
  <si>
    <t xml:space="preserve">TPT Outcome </t>
  </si>
  <si>
    <t>8b. TPT REGISTER - PL</t>
  </si>
  <si>
    <t>Age: Agreement between sources</t>
  </si>
  <si>
    <t>Sex: Agreement between sources</t>
  </si>
  <si>
    <t>Column1</t>
  </si>
  <si>
    <t>Column2</t>
  </si>
  <si>
    <t>Column3</t>
  </si>
  <si>
    <t>Column4</t>
  </si>
  <si>
    <t>Column5</t>
  </si>
  <si>
    <t>Column6</t>
  </si>
  <si>
    <t>Column7</t>
  </si>
  <si>
    <t>Column8</t>
  </si>
  <si>
    <t>Column9</t>
  </si>
  <si>
    <t>Column10</t>
  </si>
  <si>
    <t>(Calculated only for patients found in respective registers)</t>
  </si>
  <si>
    <t>Total Patients Captured:</t>
  </si>
  <si>
    <t>Patient Count Helper Column</t>
  </si>
  <si>
    <r>
      <rPr>
        <b/>
        <sz val="11"/>
        <color rgb="FFFF0000"/>
        <rFont val="Calibri"/>
        <family val="2"/>
        <scheme val="minor"/>
      </rPr>
      <t>DISCLAIMER</t>
    </r>
    <r>
      <rPr>
        <sz val="11"/>
        <color theme="1"/>
        <rFont val="Calibri"/>
        <family val="2"/>
        <scheme val="minor"/>
      </rPr>
      <t>:
The design and construction, and thus the findings and conclusions obtained from the use, of this software tool is the responsibility of the user(s) and does not necessarily represent the official position of the U.S. Centers for Disease Control and Prevention.</t>
    </r>
  </si>
  <si>
    <t>Contact: kuk7@cdc.gov</t>
  </si>
  <si>
    <t>Follow-up</t>
  </si>
  <si>
    <t>helper</t>
  </si>
  <si>
    <t>Today's date</t>
  </si>
  <si>
    <t>mWRD</t>
  </si>
  <si>
    <t xml:space="preserve">   mWRD</t>
  </si>
  <si>
    <t xml:space="preserve">   mWRD Result</t>
  </si>
  <si>
    <t>mWRD MTB Result</t>
  </si>
  <si>
    <t>mWRD RIF Result</t>
  </si>
  <si>
    <t>mWRD Activities</t>
  </si>
  <si>
    <t>mWRD test</t>
  </si>
  <si>
    <t>mWRD Result</t>
  </si>
  <si>
    <t>mWRD Result: Agreement between sources</t>
  </si>
  <si>
    <t>Updated May 2023</t>
  </si>
  <si>
    <t>PLHIV newly enrolled into HIV care and treatment</t>
  </si>
  <si>
    <t>LAM</t>
  </si>
  <si>
    <t>Presumptive Register - Aggregate</t>
  </si>
  <si>
    <t>Lab Register - Aggregate</t>
  </si>
  <si>
    <t>TB TX Register - Aggregate</t>
  </si>
  <si>
    <t>HIV Treatment Status</t>
  </si>
  <si>
    <t>Specimen Collected</t>
  </si>
  <si>
    <t>Variable</t>
  </si>
  <si>
    <t>TPT Register - Aggregate</t>
  </si>
  <si>
    <t>Smear Microscopy</t>
  </si>
  <si>
    <t>ART Status</t>
  </si>
  <si>
    <t>TPT Completed</t>
  </si>
  <si>
    <t>Unable to Produce</t>
  </si>
  <si>
    <t>Presumptive TB</t>
  </si>
  <si>
    <t>Documented</t>
  </si>
  <si>
    <t>Not Documented</t>
  </si>
  <si>
    <t>Transferred</t>
  </si>
  <si>
    <t>Initiated  Treatment</t>
  </si>
  <si>
    <t>Description</t>
  </si>
  <si>
    <t xml:space="preserve">Specimen Collection </t>
  </si>
  <si>
    <t>Regimen</t>
  </si>
  <si>
    <t>3HP</t>
  </si>
  <si>
    <t>6H</t>
  </si>
  <si>
    <t>Other</t>
  </si>
  <si>
    <t>TPT Regimen</t>
  </si>
  <si>
    <t>mWRD Invalid</t>
  </si>
  <si>
    <t xml:space="preserve">mWRD Positive </t>
  </si>
  <si>
    <t>mWRD Negative</t>
  </si>
  <si>
    <t>Smear Positive</t>
  </si>
  <si>
    <t>Smear Negative</t>
  </si>
  <si>
    <t>Sputum</t>
  </si>
  <si>
    <t>Urine</t>
  </si>
  <si>
    <t>Specimen Type</t>
  </si>
  <si>
    <t>Specimen Collection Date</t>
  </si>
  <si>
    <t>Specimen Transfer Date</t>
  </si>
  <si>
    <t>Test Result Date</t>
  </si>
  <si>
    <t>Any Test Result</t>
  </si>
  <si>
    <t>Presumptive Register - Patient Level</t>
  </si>
  <si>
    <t>Lab Register - Patient Level</t>
  </si>
  <si>
    <t>Available in Lab Register</t>
  </si>
  <si>
    <t>Specimen Received Date</t>
  </si>
  <si>
    <t>Test Type</t>
  </si>
  <si>
    <t>Result Release Date</t>
  </si>
  <si>
    <t>Any Valid Test Result</t>
  </si>
  <si>
    <t>Registration Date</t>
  </si>
  <si>
    <t>Treatment Start Date</t>
  </si>
  <si>
    <t>Completed TPT</t>
  </si>
  <si>
    <t>Specimen Collection Attempted</t>
  </si>
  <si>
    <t>4.1 COMPLETENESS</t>
  </si>
  <si>
    <t>This tab displays degree of completeness by column in the aggregate and patient-level sheets</t>
  </si>
  <si>
    <t>TPT Start Date</t>
  </si>
  <si>
    <t>Indicator</t>
  </si>
  <si>
    <t>Date of Negative TB Test</t>
  </si>
  <si>
    <t>TB TX Register - Patient Level</t>
  </si>
  <si>
    <t>TPT Register - Patient Level</t>
  </si>
  <si>
    <t>Helper</t>
  </si>
  <si>
    <t>Specimen Collection</t>
  </si>
  <si>
    <t>Positive Results</t>
  </si>
  <si>
    <t>Negative Results</t>
  </si>
  <si>
    <t>Invalid Results</t>
  </si>
  <si>
    <t>Diagnostic Cascade</t>
  </si>
  <si>
    <t>Proportion Documented</t>
  </si>
  <si>
    <t>Proportion Not Documented</t>
  </si>
  <si>
    <t>Treatment</t>
  </si>
  <si>
    <t>&lt;90%</t>
  </si>
  <si>
    <t>≥90%</t>
  </si>
  <si>
    <t>Data Completeness</t>
  </si>
  <si>
    <t xml:space="preserve">Age </t>
  </si>
  <si>
    <t>Specimen Transfer to Lab</t>
  </si>
  <si>
    <t xml:space="preserve">Specimen Diagnostic Testing </t>
  </si>
  <si>
    <t>Results Returned to Clinic</t>
  </si>
  <si>
    <t>Entry Point</t>
  </si>
  <si>
    <t>Overall</t>
  </si>
  <si>
    <r>
      <t xml:space="preserve">SPECIMEN TRANSFER 
</t>
    </r>
    <r>
      <rPr>
        <sz val="11"/>
        <color theme="0"/>
        <rFont val="Calibri"/>
        <family val="2"/>
        <scheme val="minor"/>
      </rPr>
      <t xml:space="preserve">(From date of specimen collection to date specimen received by lab) </t>
    </r>
  </si>
  <si>
    <r>
      <t xml:space="preserve">LAB TURNAROUND
</t>
    </r>
    <r>
      <rPr>
        <sz val="11"/>
        <color theme="0"/>
        <rFont val="Calibri"/>
        <family val="2"/>
        <scheme val="minor"/>
      </rPr>
      <t>(From date specimens received by lab to date of result released)</t>
    </r>
  </si>
  <si>
    <r>
      <t xml:space="preserve">DIAGNOSIS
</t>
    </r>
    <r>
      <rPr>
        <sz val="11"/>
        <color theme="0"/>
        <rFont val="Calibri"/>
        <family val="2"/>
        <scheme val="minor"/>
      </rPr>
      <t>(From date of specimen collection to date of result received by clinic)</t>
    </r>
  </si>
  <si>
    <r>
      <t xml:space="preserve">TREATMENT INITIATION
</t>
    </r>
    <r>
      <rPr>
        <sz val="11"/>
        <color theme="0"/>
        <rFont val="Calibri"/>
        <family val="2"/>
        <scheme val="minor"/>
      </rPr>
      <t>(From date of specimen collection to date patients begin treatment)</t>
    </r>
  </si>
  <si>
    <r>
      <t xml:space="preserve">TPT INITIATION
</t>
    </r>
    <r>
      <rPr>
        <sz val="11"/>
        <color theme="0"/>
        <rFont val="Calibri"/>
        <family val="2"/>
        <scheme val="minor"/>
      </rPr>
      <t>(From date of negative test result to date patients begin TPT)</t>
    </r>
  </si>
  <si>
    <t>Min</t>
  </si>
  <si>
    <t>Mean</t>
  </si>
  <si>
    <t>Max</t>
  </si>
  <si>
    <t xml:space="preserve">Patient-level sample size: </t>
  </si>
  <si>
    <t xml:space="preserve">Turnaround Time Summary </t>
  </si>
  <si>
    <t>Y-min</t>
  </si>
  <si>
    <t>Y-mean</t>
  </si>
  <si>
    <t>Y-max</t>
  </si>
  <si>
    <t>Specimen Transfer</t>
  </si>
  <si>
    <t>Lab Turnaround</t>
  </si>
  <si>
    <t>Diagnosis</t>
  </si>
  <si>
    <t>Treatment Initiation</t>
  </si>
  <si>
    <t>TPT Initiation</t>
  </si>
  <si>
    <t>From date of specimen collection to date specimen received by lab</t>
  </si>
  <si>
    <t>From date specimens received by lab to date of result released</t>
  </si>
  <si>
    <t>From date of specimen collection to date of result received by clinic</t>
  </si>
  <si>
    <t>From date of specimen collection to date patients begin treatment</t>
  </si>
  <si>
    <t>From date of negative test result to date patients begin TPT</t>
  </si>
  <si>
    <t>Count</t>
  </si>
  <si>
    <t>Started TPT</t>
  </si>
  <si>
    <t xml:space="preserve">Presumptive TB </t>
  </si>
  <si>
    <t>TPT Outcome</t>
  </si>
  <si>
    <t>-</t>
  </si>
  <si>
    <t>Data Source</t>
  </si>
  <si>
    <t>TPT Register</t>
  </si>
  <si>
    <t>Not documented</t>
  </si>
  <si>
    <t>% Initiation (overall)</t>
  </si>
  <si>
    <t>% Initiation (est. eligible)</t>
  </si>
  <si>
    <t>% Completion</t>
  </si>
  <si>
    <t>PREVENTION CASCADE</t>
  </si>
  <si>
    <t>DIAGNOSTIC CASCADE</t>
  </si>
  <si>
    <t>PLHIV with presumptive TB</t>
  </si>
  <si>
    <t>PLHIV starting TB treatment</t>
  </si>
  <si>
    <t>Est. PLHIV not on TB treatment</t>
  </si>
  <si>
    <t xml:space="preserve">of persons had presumptive TB </t>
  </si>
  <si>
    <t xml:space="preserve"> of specimens were received by the lab</t>
  </si>
  <si>
    <t xml:space="preserve"> of specimens were tested </t>
  </si>
  <si>
    <t xml:space="preserve"> of test results were received by the clinic</t>
  </si>
  <si>
    <t xml:space="preserve">  of persons with presumptive TB had a specimen collected</t>
  </si>
  <si>
    <t xml:space="preserve"> of patients started treatment</t>
  </si>
  <si>
    <t>proportion</t>
  </si>
  <si>
    <t>Additional Metrics</t>
  </si>
  <si>
    <t>Started treatment or transferred</t>
  </si>
  <si>
    <t>% Completed or transferred</t>
  </si>
  <si>
    <t>Clinic</t>
  </si>
  <si>
    <t>Lab</t>
  </si>
  <si>
    <t>Interpretation</t>
  </si>
  <si>
    <t>Entry Points Assessed (max 5)</t>
  </si>
  <si>
    <t>Treatment/Transfer</t>
  </si>
  <si>
    <r>
      <rPr>
        <b/>
        <u/>
        <sz val="11"/>
        <color theme="1"/>
        <rFont val="Calibri"/>
        <family val="2"/>
        <scheme val="minor"/>
      </rPr>
      <t xml:space="preserve">Sampling: </t>
    </r>
    <r>
      <rPr>
        <sz val="11"/>
        <color theme="1"/>
        <rFont val="Calibri"/>
        <family val="2"/>
        <scheme val="minor"/>
      </rPr>
      <t xml:space="preserve">
1. Randomly select 20 individuals with presumptive TB found in Presumptive TB Registers. If fewer than 20 individuals are recorded, select all individuals.
2. To ensure random selection, ensure that selections are made from different pages of the register and different months. Selections should be made independently of data quality or completion. </t>
    </r>
  </si>
  <si>
    <r>
      <t>3. Only collect data on entries where the specimen originated from the clinics of interest. Samples referred form elsewhere should</t>
    </r>
    <r>
      <rPr>
        <sz val="11"/>
        <color rgb="FFFF0000"/>
        <rFont val="Calibri"/>
        <family val="2"/>
        <scheme val="minor"/>
      </rPr>
      <t xml:space="preserve"> </t>
    </r>
    <r>
      <rPr>
        <b/>
        <u/>
        <sz val="11"/>
        <color rgb="FFFF0000"/>
        <rFont val="Calibri"/>
        <family val="2"/>
        <scheme val="minor"/>
      </rPr>
      <t>not</t>
    </r>
    <r>
      <rPr>
        <sz val="11"/>
        <color theme="1"/>
        <rFont val="Calibri"/>
        <family val="2"/>
        <scheme val="minor"/>
      </rPr>
      <t xml:space="preserve"> be recorded. </t>
    </r>
  </si>
  <si>
    <r>
      <t xml:space="preserve">  - Only collect data on entries where the specimen originated from the clinics visited for this assessment. Samples referred from elsewhere should </t>
    </r>
    <r>
      <rPr>
        <b/>
        <u/>
        <sz val="11"/>
        <color rgb="FFFF0000"/>
        <rFont val="Calibri"/>
        <family val="2"/>
        <scheme val="minor"/>
      </rPr>
      <t>not</t>
    </r>
    <r>
      <rPr>
        <sz val="11"/>
        <color rgb="FFFF0000"/>
        <rFont val="Calibri"/>
        <family val="2"/>
        <scheme val="minor"/>
      </rPr>
      <t xml:space="preserve"> </t>
    </r>
    <r>
      <rPr>
        <sz val="11"/>
        <color theme="1"/>
        <rFont val="Calibri"/>
        <family val="2"/>
        <scheme val="minor"/>
      </rPr>
      <t>be recorded</t>
    </r>
    <r>
      <rPr>
        <b/>
        <sz val="11"/>
        <color theme="1"/>
        <rFont val="Calibri"/>
        <family val="2"/>
        <scheme val="minor"/>
      </rPr>
      <t xml:space="preserve">. </t>
    </r>
  </si>
  <si>
    <r>
      <t xml:space="preserve">1. Gather TPT registers for designated data abstraction period and abstract for patients in selected sample.
</t>
    </r>
    <r>
      <rPr>
        <b/>
        <sz val="11"/>
        <color theme="1"/>
        <rFont val="Calibri"/>
        <family val="2"/>
        <scheme val="minor"/>
      </rPr>
      <t>Sampling</t>
    </r>
    <r>
      <rPr>
        <sz val="11"/>
        <color theme="1"/>
        <rFont val="Calibri"/>
        <family val="2"/>
        <scheme val="minor"/>
      </rPr>
      <t xml:space="preserve">
1. Randomly select 20 individuals with presumptive TB found in Presumptive TB Registers who have documented HIV-positive status and TB-negative status. If fewer than 20 individuals meet these criteria, select all individuals.
2. Selections should be made independently of data quality or completion. </t>
    </r>
  </si>
  <si>
    <t>Est. TPT Eligible</t>
  </si>
  <si>
    <t>Specimens collected + unable to produce (attempted)</t>
  </si>
  <si>
    <t>Facility Name</t>
  </si>
  <si>
    <t>Presumptive Register</t>
  </si>
  <si>
    <t>In-valid</t>
  </si>
  <si>
    <t>Treat-ment</t>
  </si>
  <si>
    <t>Colle-ction</t>
  </si>
  <si>
    <t>Persons with Presumptive TB</t>
  </si>
  <si>
    <t>Total Count</t>
  </si>
  <si>
    <t>Age Distribution by Entry Point</t>
  </si>
  <si>
    <t>HIV Status Distribution by Entry Point</t>
  </si>
  <si>
    <t>% HIV+</t>
  </si>
  <si>
    <t>% &lt;15 years old</t>
  </si>
  <si>
    <t>This tab is intended to document the time, place, and participants involved in this activity. The user should also select the type of assessment here (entry/follow-up). If multiple entry points are assessed, entry point names should be added on this tab.</t>
  </si>
  <si>
    <t>2. FACILITY PROFILE</t>
  </si>
  <si>
    <t>3.1 CASCADE ANALYSIS</t>
  </si>
  <si>
    <r>
      <t xml:space="preserve">Colored tabs are intended for data entry from registers where patient information is recorded along the diagnostic cascade. The user will need to visit multiple locations including, at a minimum, the facility where TB screening occurred and the laboratory responsible for TB diagnostic testing. Aggregate-level data and patient-level data should be abstracted in tandem since data source are the same. </t>
    </r>
    <r>
      <rPr>
        <b/>
        <sz val="11"/>
        <color theme="1"/>
        <rFont val="Calibri"/>
        <family val="2"/>
        <scheme val="minor"/>
      </rPr>
      <t>Personally identifying information such as patient name should not be collected.</t>
    </r>
    <r>
      <rPr>
        <sz val="11"/>
        <color theme="1"/>
        <rFont val="Calibri"/>
        <family val="2"/>
        <scheme val="minor"/>
      </rPr>
      <t xml:space="preserve"> Registers will be required at each location and partners on site should be notified of user needs prior to arrival. Only colored tabs should be edited. </t>
    </r>
  </si>
  <si>
    <t>3.2 TAT ANALYSIS</t>
  </si>
  <si>
    <t>4.2 DATA QUALITY</t>
  </si>
  <si>
    <t>4.3 TABLE SUMMARIES</t>
  </si>
  <si>
    <t xml:space="preserve">This tab is intended to highlight findings from patient-level data entry. Key time intervals are calculated, which are intended to display the time period between steps in the diagnostic cascade; this will be auto-populated from patient-level data entered in tabs 5b-8b. </t>
  </si>
  <si>
    <t xml:space="preserve">This tab is intended to highlight the findings from aggregate-level data entry on the TB cascade steps; all values will be auto-populated from colored data entry tabs (5a-8a).  </t>
  </si>
  <si>
    <t>Note to users: Unhide columns W:AY to manipulate visuals</t>
  </si>
  <si>
    <t xml:space="preserve">This tab provides an overview of key facility characteristics, including total number of persons with presumptive TB, and distribution by entry point, age, and HIV status. </t>
  </si>
  <si>
    <t>These tabs are the "Agg" or aggregate data collection tabs. The tables are built to assist in data abstraction at the aggregate level by counting page totals for each field. Each row will represent sums from one page of a register; sections are provided for each entry point.</t>
  </si>
  <si>
    <r>
      <t xml:space="preserve">These tabs are the "PL" or patient-level data entry tabs. The user </t>
    </r>
    <r>
      <rPr>
        <sz val="11"/>
        <rFont val="Calibri"/>
        <family val="2"/>
        <scheme val="minor"/>
      </rPr>
      <t>will select a random sample of presumptive TB from the register who were entered in the specified time period using the sampling approach below</t>
    </r>
    <r>
      <rPr>
        <sz val="11"/>
        <color theme="1"/>
        <rFont val="Calibri"/>
        <family val="2"/>
        <scheme val="minor"/>
      </rPr>
      <t xml:space="preserve">. Using common identifiers, the user will then complete all fields using various data sources along the diagnostic pathway. Data entry will be one patient per row; all dates should be entered in format dd-Mmm-yy (ex. 30-Mar-19) . A section for notes is provided below each section in the event of abnormal findings that do not fit tool parameters. 
</t>
    </r>
    <r>
      <rPr>
        <u/>
        <sz val="11"/>
        <rFont val="Calibri"/>
        <family val="2"/>
        <scheme val="minor"/>
      </rPr>
      <t>Sampling Approach for Patient-Level Data Collection: Presumptive Register</t>
    </r>
    <r>
      <rPr>
        <sz val="11"/>
        <rFont val="Calibri"/>
        <family val="2"/>
        <scheme val="minor"/>
      </rPr>
      <t xml:space="preserve">
1. Randomly select 20 individuals with presumptive TB found in Presumptive TB Registers. If fewer than 20 individuals are recorded, select all individuals.
2. To ensure random selection, ensure that selections are made from different pages of the register and different months. Selections should be made independently of data quality or completion. 
</t>
    </r>
    <r>
      <rPr>
        <u/>
        <sz val="11"/>
        <rFont val="Calibri"/>
        <family val="2"/>
        <scheme val="minor"/>
      </rPr>
      <t>Sampling Approach for Patient-Level Data Collection: TPT Register</t>
    </r>
    <r>
      <rPr>
        <sz val="11"/>
        <rFont val="Calibri"/>
        <family val="2"/>
        <scheme val="minor"/>
      </rPr>
      <t xml:space="preserve">
1. Randomly select 20 individuals with presumptive TB found in Presumptive TB Registers who have documented HIV-positive status and TB-negative status. If fewer than 20 individuals meet these criteria, select all individuals.
2. Selections should be made independently of data quality or completion. </t>
    </r>
  </si>
  <si>
    <t>Invalid
No Result Error
(I)</t>
  </si>
  <si>
    <t>Unknown Specimen Type</t>
  </si>
  <si>
    <t>Smear Positive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</si>
</sst>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F800]dddd\,\ mmmm\ dd\,\ yyyy"/>
    <numFmt numFmtId="165" formatCode="[$-409]d\-mmm\-yy;@"/>
    <numFmt numFmtId="166" formatCode="0.0"/>
  </numFmts>
  <fonts count="42" x14ac:knownFonts="1">
    <font>
      <sz val="11"/>
      <color theme="1"/>
      <name val="Calibri"/>
      <family val="2"/>
      <scheme val="minor"/>
    </font>
    <font>
      <b/>
      <sz val="11"/>
      <color theme="1"/>
      <name val="Calibri"/>
      <family val="2"/>
      <scheme val="minor"/>
    </font>
    <font>
      <sz val="10"/>
      <color theme="1"/>
      <name val="Calibri"/>
      <family val="2"/>
      <scheme val="minor"/>
    </font>
    <font>
      <sz val="12"/>
      <color theme="1"/>
      <name val="Calibri"/>
      <family val="2"/>
      <scheme val="minor"/>
    </font>
    <font>
      <sz val="11"/>
      <color rgb="FFFF0000"/>
      <name val="Calibri"/>
      <family val="2"/>
      <scheme val="minor"/>
    </font>
    <font>
      <sz val="20"/>
      <color theme="1"/>
      <name val="Calibri"/>
      <family val="2"/>
      <scheme val="minor"/>
    </font>
    <font>
      <u/>
      <sz val="11"/>
      <color theme="10"/>
      <name val="Calibri"/>
      <family val="2"/>
      <scheme val="minor"/>
    </font>
    <font>
      <b/>
      <sz val="16"/>
      <color theme="1"/>
      <name val="Calibri"/>
      <family val="2"/>
      <scheme val="minor"/>
    </font>
    <font>
      <sz val="18"/>
      <color theme="1"/>
      <name val="Calibri"/>
      <family val="2"/>
      <scheme val="minor"/>
    </font>
    <font>
      <b/>
      <sz val="18"/>
      <color theme="1"/>
      <name val="Calibri"/>
      <family val="2"/>
      <scheme val="minor"/>
    </font>
    <font>
      <b/>
      <sz val="11"/>
      <name val="Calibri"/>
      <family val="2"/>
      <scheme val="minor"/>
    </font>
    <font>
      <b/>
      <u/>
      <sz val="11"/>
      <color theme="1"/>
      <name val="Calibri"/>
      <family val="2"/>
      <scheme val="minor"/>
    </font>
    <font>
      <sz val="11"/>
      <name val="Calibri"/>
      <family val="2"/>
      <scheme val="minor"/>
    </font>
    <font>
      <b/>
      <u/>
      <sz val="11"/>
      <color rgb="FFFF00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6"/>
      <color theme="0"/>
      <name val="Calibri"/>
      <family val="2"/>
      <scheme val="minor"/>
    </font>
    <font>
      <b/>
      <sz val="18"/>
      <color theme="0"/>
      <name val="Calibri"/>
      <family val="2"/>
      <scheme val="minor"/>
    </font>
    <font>
      <b/>
      <i/>
      <sz val="12"/>
      <color theme="0"/>
      <name val="Calibri"/>
      <family val="2"/>
      <scheme val="minor"/>
    </font>
    <font>
      <sz val="11"/>
      <color theme="1"/>
      <name val="Calibri"/>
      <family val="2"/>
      <scheme val="minor"/>
    </font>
    <font>
      <b/>
      <sz val="14"/>
      <color theme="1"/>
      <name val="Calibri"/>
      <family val="2"/>
      <scheme val="minor"/>
    </font>
    <font>
      <sz val="9"/>
      <color theme="1"/>
      <name val="Calibri"/>
      <family val="2"/>
      <scheme val="minor"/>
    </font>
    <font>
      <b/>
      <sz val="10"/>
      <color theme="0"/>
      <name val="Calibri"/>
      <family val="2"/>
      <scheme val="minor"/>
    </font>
    <font>
      <sz val="8"/>
      <color theme="1"/>
      <name val="Calibri"/>
      <family val="2"/>
      <scheme val="minor"/>
    </font>
    <font>
      <sz val="8"/>
      <name val="Calibri"/>
      <family val="2"/>
      <scheme val="minor"/>
    </font>
    <font>
      <sz val="18"/>
      <color theme="0"/>
      <name val="Calibri"/>
      <family val="2"/>
      <scheme val="minor"/>
    </font>
    <font>
      <b/>
      <u/>
      <sz val="11"/>
      <color theme="0"/>
      <name val="Calibri"/>
      <family val="2"/>
      <scheme val="minor"/>
    </font>
    <font>
      <b/>
      <u/>
      <sz val="11"/>
      <name val="Calibri"/>
      <family val="2"/>
      <scheme val="minor"/>
    </font>
    <font>
      <sz val="10"/>
      <name val="Calibri"/>
      <family val="2"/>
      <scheme val="minor"/>
    </font>
    <font>
      <b/>
      <sz val="12"/>
      <color theme="0"/>
      <name val="Calibri"/>
      <family val="2"/>
      <scheme val="minor"/>
    </font>
    <font>
      <b/>
      <sz val="14"/>
      <name val="Calibri"/>
      <family val="2"/>
      <scheme val="minor"/>
    </font>
    <font>
      <b/>
      <u/>
      <sz val="14"/>
      <color theme="0"/>
      <name val="Calibri"/>
      <family val="2"/>
      <scheme val="minor"/>
    </font>
    <font>
      <b/>
      <sz val="16"/>
      <name val="Calibri"/>
      <family val="2"/>
      <scheme val="minor"/>
    </font>
    <font>
      <b/>
      <sz val="11"/>
      <color rgb="FFC00000"/>
      <name val="Calibri"/>
      <family val="2"/>
      <scheme val="minor"/>
    </font>
    <font>
      <b/>
      <sz val="11"/>
      <color theme="4" tint="-0.249977111117893"/>
      <name val="Calibri"/>
      <family val="2"/>
      <scheme val="minor"/>
    </font>
    <font>
      <b/>
      <sz val="11"/>
      <color theme="9" tint="-0.499984740745262"/>
      <name val="Calibri"/>
      <family val="2"/>
      <scheme val="minor"/>
    </font>
    <font>
      <b/>
      <sz val="11"/>
      <color rgb="FFFF0000"/>
      <name val="Calibri"/>
      <family val="2"/>
      <scheme val="minor"/>
    </font>
    <font>
      <b/>
      <sz val="20"/>
      <color theme="1"/>
      <name val="Calibri"/>
      <family val="2"/>
      <scheme val="minor"/>
    </font>
    <font>
      <u/>
      <sz val="11"/>
      <name val="Calibri"/>
      <family val="2"/>
      <scheme val="minor"/>
    </font>
    <font>
      <sz val="14"/>
      <color theme="1"/>
      <name val="Calibri"/>
      <family val="2"/>
      <scheme val="minor"/>
    </font>
    <font>
      <sz val="36"/>
      <color theme="1"/>
      <name val="Calibri"/>
      <family val="2"/>
      <scheme val="minor"/>
    </font>
  </fonts>
  <fills count="38">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499984740745262"/>
        <bgColor indexed="64"/>
      </patternFill>
    </fill>
    <fill>
      <patternFill patternType="solid">
        <fgColor rgb="FFC00000"/>
        <bgColor indexed="64"/>
      </patternFill>
    </fill>
    <fill>
      <patternFill patternType="solid">
        <fgColor theme="9" tint="-0.499984740745262"/>
        <bgColor indexed="64"/>
      </patternFill>
    </fill>
    <fill>
      <patternFill patternType="solid">
        <fgColor theme="2" tint="-0.499984740745262"/>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theme="7"/>
        <bgColor indexed="64"/>
      </patternFill>
    </fill>
    <fill>
      <patternFill patternType="solid">
        <fgColor theme="5"/>
        <bgColor indexed="64"/>
      </patternFill>
    </fill>
    <fill>
      <patternFill patternType="solid">
        <fgColor rgb="FFFF9900"/>
        <bgColor indexed="64"/>
      </patternFill>
    </fill>
    <fill>
      <patternFill patternType="solid">
        <fgColor rgb="FF92D050"/>
        <bgColor indexed="64"/>
      </patternFill>
    </fill>
    <fill>
      <patternFill patternType="solid">
        <fgColor theme="8"/>
        <bgColor indexed="64"/>
      </patternFill>
    </fill>
    <fill>
      <patternFill patternType="solid">
        <fgColor theme="9"/>
        <bgColor indexed="64"/>
      </patternFill>
    </fill>
    <fill>
      <patternFill patternType="solid">
        <fgColor theme="4"/>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7" tint="-0.249977111117893"/>
        <bgColor indexed="64"/>
      </patternFill>
    </fill>
    <fill>
      <patternFill patternType="solid">
        <fgColor rgb="FFFF0000"/>
        <bgColor indexed="64"/>
      </patternFill>
    </fill>
    <fill>
      <patternFill patternType="solid">
        <fgColor rgb="FF7030A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F08888"/>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99FF"/>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s>
  <borders count="10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double">
        <color indexed="64"/>
      </bottom>
      <diagonal/>
    </border>
    <border>
      <left/>
      <right style="medium">
        <color indexed="64"/>
      </right>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auto="1"/>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rgb="FF000000"/>
      </bottom>
      <diagonal/>
    </border>
    <border>
      <left style="thin">
        <color rgb="FF000000"/>
      </left>
      <right/>
      <top style="thin">
        <color indexed="64"/>
      </top>
      <bottom/>
      <diagonal/>
    </border>
    <border>
      <left style="thin">
        <color rgb="FF000000"/>
      </left>
      <right/>
      <top style="thin">
        <color indexed="64"/>
      </top>
      <bottom style="thin">
        <color rgb="FF000000"/>
      </bottom>
      <diagonal/>
    </border>
    <border>
      <left style="thin">
        <color rgb="FF000000"/>
      </left>
      <right/>
      <top/>
      <bottom/>
      <diagonal/>
    </border>
    <border>
      <left style="thin">
        <color indexed="64"/>
      </left>
      <right style="medium">
        <color indexed="64"/>
      </right>
      <top style="thin">
        <color indexed="64"/>
      </top>
      <bottom style="thin">
        <color rgb="FF000000"/>
      </bottom>
      <diagonal/>
    </border>
    <border>
      <left style="thin">
        <color indexed="64"/>
      </left>
      <right style="thin">
        <color indexed="64"/>
      </right>
      <top style="thin">
        <color indexed="64"/>
      </top>
      <bottom style="thin">
        <color theme="5"/>
      </bottom>
      <diagonal/>
    </border>
    <border>
      <left/>
      <right/>
      <top style="thin">
        <color theme="0"/>
      </top>
      <bottom style="thin">
        <color theme="0"/>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right/>
      <top style="thin">
        <color theme="2"/>
      </top>
      <bottom/>
      <diagonal/>
    </border>
    <border>
      <left style="thin">
        <color theme="0"/>
      </left>
      <right/>
      <top style="thin">
        <color theme="2"/>
      </top>
      <bottom/>
      <diagonal/>
    </border>
    <border>
      <left/>
      <right style="thin">
        <color theme="0"/>
      </right>
      <top style="thin">
        <color theme="2"/>
      </top>
      <bottom/>
      <diagonal/>
    </border>
    <border>
      <left/>
      <right style="thin">
        <color theme="2"/>
      </right>
      <top/>
      <bottom style="thin">
        <color theme="2"/>
      </bottom>
      <diagonal/>
    </border>
    <border>
      <left/>
      <right style="thin">
        <color theme="2"/>
      </right>
      <top/>
      <bottom/>
      <diagonal/>
    </border>
    <border>
      <left style="medium">
        <color indexed="64"/>
      </left>
      <right/>
      <top style="thin">
        <color theme="0"/>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thin">
        <color theme="0"/>
      </bottom>
      <diagonal/>
    </border>
    <border>
      <left/>
      <right style="medium">
        <color indexed="64"/>
      </right>
      <top style="thin">
        <color theme="0"/>
      </top>
      <bottom style="medium">
        <color indexed="64"/>
      </bottom>
      <diagonal/>
    </border>
    <border>
      <left/>
      <right style="thin">
        <color theme="2"/>
      </right>
      <top style="thin">
        <color theme="2"/>
      </top>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diagonal/>
    </border>
    <border>
      <left/>
      <right style="medium">
        <color theme="2"/>
      </right>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s>
  <cellStyleXfs count="4">
    <xf numFmtId="0" fontId="0" fillId="0" borderId="0"/>
    <xf numFmtId="0" fontId="6" fillId="0" borderId="0" applyNumberFormat="0" applyFill="0" applyBorder="0" applyAlignment="0" applyProtection="0"/>
    <xf numFmtId="9" fontId="20" fillId="0" borderId="0" applyFont="0" applyFill="0" applyBorder="0" applyAlignment="0" applyProtection="0"/>
    <xf numFmtId="9" fontId="20" fillId="0" borderId="0" applyFont="0" applyFill="0" applyBorder="0" applyAlignment="0" applyProtection="0"/>
  </cellStyleXfs>
  <cellXfs count="855">
    <xf numFmtId="0" fontId="0" fillId="0" borderId="0" xfId="0"/>
    <xf numFmtId="0" fontId="0" fillId="0" borderId="0" xfId="0" applyAlignment="1">
      <alignment vertical="center"/>
    </xf>
    <xf numFmtId="0" fontId="0" fillId="0" borderId="0" xfId="0" applyFill="1" applyAlignment="1">
      <alignment vertical="center"/>
    </xf>
    <xf numFmtId="0" fontId="0" fillId="0" borderId="0" xfId="0" applyFill="1" applyAlignment="1">
      <alignment horizontal="left" vertical="center"/>
    </xf>
    <xf numFmtId="0" fontId="0" fillId="0" borderId="0" xfId="0" applyAlignment="1">
      <alignment horizontal="left" vertical="center"/>
    </xf>
    <xf numFmtId="0" fontId="1" fillId="0" borderId="0" xfId="0" applyFont="1"/>
    <xf numFmtId="0" fontId="0" fillId="0" borderId="0" xfId="0" applyAlignment="1" applyProtection="1">
      <alignment horizontal="center" vertical="center"/>
      <protection locked="0"/>
    </xf>
    <xf numFmtId="0" fontId="0" fillId="0" borderId="0" xfId="0" applyBorder="1" applyAlignment="1" applyProtection="1">
      <alignment horizontal="center" vertical="center"/>
      <protection locked="0"/>
    </xf>
    <xf numFmtId="0" fontId="5" fillId="0" borderId="0" xfId="0" applyFont="1"/>
    <xf numFmtId="0" fontId="0" fillId="0" borderId="0" xfId="0" applyBorder="1"/>
    <xf numFmtId="0" fontId="0" fillId="0" borderId="0" xfId="0" applyAlignment="1">
      <alignment horizontal="left" vertical="top" wrapText="1"/>
    </xf>
    <xf numFmtId="0" fontId="0" fillId="6" borderId="0" xfId="0" applyFill="1" applyAlignment="1" applyProtection="1">
      <alignment horizontal="center" vertical="center"/>
      <protection locked="0"/>
    </xf>
    <xf numFmtId="0" fontId="0" fillId="6" borderId="0" xfId="0" applyFill="1" applyBorder="1" applyAlignment="1" applyProtection="1">
      <alignment horizontal="center" vertical="center"/>
      <protection locked="0"/>
    </xf>
    <xf numFmtId="0" fontId="0" fillId="6" borderId="0" xfId="0" applyFill="1" applyAlignment="1" applyProtection="1">
      <alignment horizontal="left" vertical="center"/>
      <protection locked="0"/>
    </xf>
    <xf numFmtId="0" fontId="0" fillId="0" borderId="1" xfId="0" applyBorder="1" applyAlignment="1">
      <alignment horizontal="left" vertical="center"/>
    </xf>
    <xf numFmtId="0" fontId="0" fillId="0" borderId="7" xfId="0" applyBorder="1" applyAlignment="1">
      <alignment horizontal="left" vertical="center"/>
    </xf>
    <xf numFmtId="0" fontId="6" fillId="0" borderId="0" xfId="1" applyAlignment="1">
      <alignment horizontal="right" vertical="center"/>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right"/>
    </xf>
    <xf numFmtId="0" fontId="0" fillId="0" borderId="0" xfId="0" applyFont="1"/>
    <xf numFmtId="0" fontId="0" fillId="0" borderId="0" xfId="0" applyFill="1"/>
    <xf numFmtId="0" fontId="0" fillId="0" borderId="0" xfId="0" applyFill="1" applyAlignment="1">
      <alignment horizontal="right"/>
    </xf>
    <xf numFmtId="1" fontId="0" fillId="0" borderId="0" xfId="0" applyNumberFormat="1" applyFill="1" applyBorder="1" applyAlignment="1">
      <alignment horizontal="right"/>
    </xf>
    <xf numFmtId="0" fontId="0" fillId="0" borderId="0" xfId="0" applyFill="1" applyBorder="1"/>
    <xf numFmtId="0" fontId="1" fillId="0" borderId="32" xfId="0" applyFont="1" applyBorder="1"/>
    <xf numFmtId="0" fontId="0" fillId="0" borderId="29" xfId="0" applyFill="1" applyBorder="1" applyAlignment="1">
      <alignment vertical="center"/>
    </xf>
    <xf numFmtId="0" fontId="0" fillId="0" borderId="0" xfId="0" applyFill="1" applyBorder="1" applyAlignment="1" applyProtection="1">
      <alignment horizontal="center" vertical="center"/>
      <protection locked="0"/>
    </xf>
    <xf numFmtId="0" fontId="7" fillId="0" borderId="0" xfId="0" applyFont="1" applyFill="1" applyBorder="1" applyAlignment="1" applyProtection="1">
      <alignment vertical="center" wrapText="1"/>
      <protection locked="0"/>
    </xf>
    <xf numFmtId="0" fontId="0" fillId="5" borderId="7" xfId="0" applyFont="1" applyFill="1" applyBorder="1" applyAlignment="1" applyProtection="1">
      <alignment horizontal="center" vertical="center"/>
      <protection locked="0"/>
    </xf>
    <xf numFmtId="0" fontId="0" fillId="5" borderId="13"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protection locked="0"/>
    </xf>
    <xf numFmtId="0" fontId="0" fillId="0" borderId="0" xfId="0" applyFont="1" applyAlignment="1" applyProtection="1">
      <alignment horizontal="center" vertical="center"/>
      <protection locked="0"/>
    </xf>
    <xf numFmtId="0" fontId="0" fillId="6" borderId="0" xfId="0" applyFont="1" applyFill="1" applyAlignment="1" applyProtection="1">
      <alignment horizontal="center" vertical="center"/>
      <protection locked="0"/>
    </xf>
    <xf numFmtId="0" fontId="12" fillId="3" borderId="7" xfId="0"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12" fillId="3" borderId="4" xfId="0" applyFont="1" applyFill="1" applyBorder="1" applyAlignment="1" applyProtection="1">
      <alignment horizontal="center" vertical="center"/>
    </xf>
    <xf numFmtId="0" fontId="12" fillId="0" borderId="22" xfId="0" applyFont="1" applyFill="1" applyBorder="1" applyAlignment="1" applyProtection="1">
      <alignment horizontal="center" vertical="center"/>
      <protection locked="0"/>
    </xf>
    <xf numFmtId="1" fontId="0" fillId="0" borderId="25" xfId="0" applyNumberFormat="1" applyFill="1" applyBorder="1" applyAlignment="1">
      <alignment horizontal="right"/>
    </xf>
    <xf numFmtId="0" fontId="12" fillId="3" borderId="1" xfId="0" applyFont="1" applyFill="1" applyBorder="1" applyAlignment="1" applyProtection="1">
      <alignment horizontal="center" vertical="center"/>
    </xf>
    <xf numFmtId="0" fontId="15" fillId="7" borderId="0" xfId="0" applyFont="1" applyFill="1" applyBorder="1" applyAlignment="1" applyProtection="1">
      <alignment horizontal="center" vertical="center"/>
      <protection locked="0"/>
    </xf>
    <xf numFmtId="0" fontId="15" fillId="8" borderId="0" xfId="0" applyFont="1" applyFill="1" applyBorder="1" applyAlignment="1" applyProtection="1">
      <alignment horizontal="center" vertical="center"/>
      <protection locked="0"/>
    </xf>
    <xf numFmtId="0" fontId="15" fillId="8" borderId="0" xfId="0" applyFont="1" applyFill="1" applyAlignment="1" applyProtection="1">
      <alignment horizontal="center" vertical="center"/>
      <protection locked="0"/>
    </xf>
    <xf numFmtId="0" fontId="15" fillId="9" borderId="0"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0" fillId="0" borderId="0" xfId="0" applyProtection="1">
      <protection locked="0"/>
    </xf>
    <xf numFmtId="0" fontId="0" fillId="0" borderId="0" xfId="0" applyFill="1" applyProtection="1">
      <protection locked="0"/>
    </xf>
    <xf numFmtId="0" fontId="0" fillId="0" borderId="0" xfId="0" applyFill="1" applyAlignment="1" applyProtection="1">
      <alignment horizontal="center" vertical="center"/>
      <protection locked="0"/>
    </xf>
    <xf numFmtId="0" fontId="0" fillId="5" borderId="13" xfId="0" applyFont="1" applyFill="1" applyBorder="1" applyAlignment="1" applyProtection="1">
      <alignment horizontal="left" vertical="center"/>
      <protection locked="0"/>
    </xf>
    <xf numFmtId="0" fontId="0" fillId="0" borderId="0" xfId="0" applyProtection="1"/>
    <xf numFmtId="0" fontId="18" fillId="11" borderId="0" xfId="0" applyFont="1" applyFill="1" applyAlignment="1" applyProtection="1">
      <alignment vertical="center"/>
      <protection locked="0"/>
    </xf>
    <xf numFmtId="0" fontId="0" fillId="11" borderId="0" xfId="0" applyFill="1" applyAlignment="1" applyProtection="1">
      <alignment horizontal="center" vertical="center"/>
      <protection locked="0"/>
    </xf>
    <xf numFmtId="0" fontId="0" fillId="11" borderId="0" xfId="0" applyFill="1" applyProtection="1">
      <protection locked="0"/>
    </xf>
    <xf numFmtId="0" fontId="1" fillId="0" borderId="0" xfId="0" applyFont="1" applyProtection="1">
      <protection locked="0"/>
    </xf>
    <xf numFmtId="0" fontId="0" fillId="5" borderId="0" xfId="0" applyFont="1" applyFill="1" applyBorder="1" applyAlignment="1" applyProtection="1">
      <alignment horizontal="left" vertical="center"/>
      <protection locked="0"/>
    </xf>
    <xf numFmtId="0" fontId="0" fillId="5" borderId="0" xfId="0" applyFont="1" applyFill="1" applyBorder="1" applyAlignment="1" applyProtection="1">
      <alignment vertical="center"/>
      <protection locked="0"/>
    </xf>
    <xf numFmtId="0" fontId="0" fillId="5" borderId="6" xfId="0" applyFont="1" applyFill="1" applyBorder="1" applyAlignment="1" applyProtection="1">
      <alignment horizontal="left" vertical="center"/>
      <protection locked="0"/>
    </xf>
    <xf numFmtId="0" fontId="0" fillId="5" borderId="5" xfId="0" applyFont="1" applyFill="1" applyBorder="1" applyAlignment="1" applyProtection="1">
      <alignment horizontal="left" vertical="center"/>
      <protection locked="0"/>
    </xf>
    <xf numFmtId="0" fontId="0" fillId="5" borderId="5" xfId="0" applyFont="1" applyFill="1" applyBorder="1" applyAlignment="1" applyProtection="1">
      <alignment vertical="center"/>
      <protection locked="0"/>
    </xf>
    <xf numFmtId="1" fontId="0" fillId="0" borderId="21" xfId="0" applyNumberFormat="1" applyFill="1" applyBorder="1" applyAlignment="1" applyProtection="1">
      <alignment horizontal="right"/>
    </xf>
    <xf numFmtId="0" fontId="0" fillId="0" borderId="21" xfId="0" applyFill="1" applyBorder="1" applyProtection="1"/>
    <xf numFmtId="0" fontId="7"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protection locked="0"/>
    </xf>
    <xf numFmtId="0" fontId="4" fillId="0" borderId="0" xfId="0" applyFont="1" applyAlignment="1" applyProtection="1">
      <alignment horizontal="left" vertical="center"/>
      <protection locked="0"/>
    </xf>
    <xf numFmtId="0" fontId="0" fillId="0" borderId="0" xfId="0" applyAlignment="1" applyProtection="1">
      <alignment wrapText="1"/>
      <protection locked="0"/>
    </xf>
    <xf numFmtId="0" fontId="4" fillId="6" borderId="0" xfId="0" applyFont="1" applyFill="1" applyAlignment="1" applyProtection="1">
      <alignment horizontal="left" vertical="center"/>
      <protection locked="0"/>
    </xf>
    <xf numFmtId="0" fontId="0" fillId="5" borderId="9" xfId="0" applyFont="1" applyFill="1" applyBorder="1" applyAlignment="1" applyProtection="1">
      <alignment vertical="center"/>
      <protection locked="0"/>
    </xf>
    <xf numFmtId="0" fontId="0" fillId="5" borderId="8" xfId="0" applyFont="1" applyFill="1" applyBorder="1" applyAlignment="1" applyProtection="1">
      <alignment vertical="center"/>
      <protection locked="0"/>
    </xf>
    <xf numFmtId="0" fontId="0" fillId="5" borderId="7" xfId="0" applyFont="1" applyFill="1" applyBorder="1" applyAlignment="1" applyProtection="1">
      <alignment vertical="center"/>
      <protection locked="0"/>
    </xf>
    <xf numFmtId="0" fontId="0" fillId="5" borderId="8" xfId="0" applyFont="1" applyFill="1" applyBorder="1" applyAlignment="1" applyProtection="1">
      <alignment horizontal="left" vertical="center"/>
      <protection locked="0"/>
    </xf>
    <xf numFmtId="0" fontId="0" fillId="5" borderId="12" xfId="0" applyFont="1" applyFill="1" applyBorder="1" applyAlignment="1" applyProtection="1">
      <alignment horizontal="left" vertical="center"/>
      <protection locked="0"/>
    </xf>
    <xf numFmtId="0" fontId="0" fillId="5" borderId="13" xfId="0" applyFont="1" applyFill="1" applyBorder="1" applyAlignment="1" applyProtection="1">
      <alignment vertical="center"/>
      <protection locked="0"/>
    </xf>
    <xf numFmtId="0" fontId="0" fillId="5" borderId="12" xfId="0" applyFont="1" applyFill="1" applyBorder="1" applyAlignment="1" applyProtection="1">
      <alignment vertical="center"/>
      <protection locked="0"/>
    </xf>
    <xf numFmtId="0" fontId="0" fillId="5" borderId="4" xfId="0" applyFont="1" applyFill="1" applyBorder="1" applyAlignment="1" applyProtection="1">
      <alignment vertical="center"/>
      <protection locked="0"/>
    </xf>
    <xf numFmtId="0" fontId="12" fillId="0" borderId="35" xfId="0" applyFont="1" applyFill="1" applyBorder="1" applyAlignment="1" applyProtection="1">
      <alignment horizontal="center" vertical="center"/>
    </xf>
    <xf numFmtId="0" fontId="12" fillId="0" borderId="28"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0" fontId="0" fillId="0" borderId="20" xfId="0" applyBorder="1" applyAlignment="1" applyProtection="1">
      <alignment horizontal="center" vertical="center"/>
    </xf>
    <xf numFmtId="0" fontId="12" fillId="0" borderId="34" xfId="0" applyFont="1" applyFill="1" applyBorder="1" applyAlignment="1" applyProtection="1">
      <alignment horizontal="center" vertical="center"/>
    </xf>
    <xf numFmtId="0" fontId="0" fillId="5" borderId="3" xfId="0" applyFont="1" applyFill="1" applyBorder="1" applyAlignment="1" applyProtection="1">
      <alignment vertical="center"/>
      <protection locked="0"/>
    </xf>
    <xf numFmtId="0" fontId="0" fillId="5" borderId="2" xfId="0" applyFont="1" applyFill="1" applyBorder="1" applyAlignment="1" applyProtection="1">
      <alignment vertical="center"/>
      <protection locked="0"/>
    </xf>
    <xf numFmtId="0" fontId="0" fillId="5" borderId="6" xfId="0" applyFont="1" applyFill="1" applyBorder="1" applyAlignment="1" applyProtection="1">
      <alignment vertical="center"/>
      <protection locked="0"/>
    </xf>
    <xf numFmtId="0" fontId="3" fillId="6" borderId="0" xfId="0" applyFont="1" applyFill="1" applyBorder="1" applyAlignment="1" applyProtection="1">
      <alignment vertical="center"/>
      <protection locked="0"/>
    </xf>
    <xf numFmtId="0" fontId="12" fillId="6" borderId="15" xfId="0" applyFont="1" applyFill="1" applyBorder="1" applyAlignment="1" applyProtection="1">
      <alignment horizontal="center" vertical="center"/>
    </xf>
    <xf numFmtId="0" fontId="12" fillId="6" borderId="11" xfId="0" applyFont="1" applyFill="1" applyBorder="1" applyAlignment="1" applyProtection="1">
      <alignment horizontal="center" vertical="center"/>
    </xf>
    <xf numFmtId="0" fontId="12" fillId="6" borderId="14" xfId="0" applyFont="1" applyFill="1" applyBorder="1" applyAlignment="1" applyProtection="1">
      <alignment horizontal="center" vertical="center"/>
    </xf>
    <xf numFmtId="0" fontId="0" fillId="0" borderId="15" xfId="0" applyFont="1" applyBorder="1" applyAlignment="1" applyProtection="1">
      <alignment horizontal="center" vertical="center"/>
    </xf>
    <xf numFmtId="0" fontId="0" fillId="0" borderId="11" xfId="0" applyFont="1" applyBorder="1" applyAlignment="1" applyProtection="1">
      <alignment horizontal="center" vertical="center"/>
    </xf>
    <xf numFmtId="0" fontId="0" fillId="6" borderId="11" xfId="0" applyFont="1" applyFill="1" applyBorder="1" applyAlignment="1" applyProtection="1">
      <alignment horizontal="center" vertical="center"/>
    </xf>
    <xf numFmtId="0" fontId="17" fillId="0" borderId="0" xfId="0" applyFont="1" applyFill="1" applyBorder="1" applyAlignment="1" applyProtection="1">
      <alignment horizontal="left" vertical="center" wrapText="1"/>
      <protection locked="0"/>
    </xf>
    <xf numFmtId="0" fontId="0" fillId="0" borderId="0" xfId="0" applyAlignment="1" applyProtection="1">
      <alignment horizontal="left" wrapText="1"/>
      <protection locked="0"/>
    </xf>
    <xf numFmtId="0" fontId="12" fillId="0" borderId="11" xfId="0" applyFont="1" applyFill="1" applyBorder="1" applyAlignment="1" applyProtection="1">
      <alignment horizontal="center" vertical="center"/>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0" fillId="0" borderId="0" xfId="0" applyBorder="1" applyAlignment="1">
      <alignment vertical="center"/>
    </xf>
    <xf numFmtId="0" fontId="12" fillId="0" borderId="24"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xf>
    <xf numFmtId="49" fontId="0" fillId="0" borderId="0" xfId="0" applyNumberFormat="1" applyFont="1" applyAlignment="1" applyProtection="1">
      <alignment horizontal="center" vertical="center"/>
      <protection locked="0"/>
    </xf>
    <xf numFmtId="49" fontId="0" fillId="0" borderId="0" xfId="0" applyNumberFormat="1" applyAlignment="1" applyProtection="1">
      <alignment horizontal="center" vertical="center"/>
      <protection locked="0"/>
    </xf>
    <xf numFmtId="0" fontId="6" fillId="0" borderId="0" xfId="1"/>
    <xf numFmtId="0" fontId="1" fillId="11" borderId="0" xfId="0" applyFont="1" applyFill="1" applyProtection="1">
      <protection locked="0"/>
    </xf>
    <xf numFmtId="0" fontId="0" fillId="0" borderId="13" xfId="0" applyBorder="1" applyProtection="1"/>
    <xf numFmtId="0" fontId="0" fillId="11" borderId="0" xfId="0" applyFill="1" applyAlignment="1" applyProtection="1">
      <alignment wrapText="1"/>
      <protection locked="0"/>
    </xf>
    <xf numFmtId="0" fontId="0" fillId="0" borderId="0" xfId="0" applyAlignment="1">
      <alignment wrapText="1"/>
    </xf>
    <xf numFmtId="0" fontId="0" fillId="0" borderId="0" xfId="0" applyBorder="1" applyAlignment="1" applyProtection="1">
      <alignment horizontal="center" vertical="center"/>
    </xf>
    <xf numFmtId="0" fontId="0" fillId="0" borderId="0" xfId="0" applyBorder="1" applyAlignment="1" applyProtection="1"/>
    <xf numFmtId="0" fontId="0" fillId="0" borderId="0" xfId="0" applyAlignment="1">
      <alignment horizontal="left" vertical="center" wrapText="1"/>
    </xf>
    <xf numFmtId="0" fontId="0" fillId="0" borderId="13" xfId="0" applyBorder="1"/>
    <xf numFmtId="0" fontId="0" fillId="0" borderId="0" xfId="0" applyBorder="1"/>
    <xf numFmtId="0" fontId="0" fillId="0" borderId="12" xfId="0" applyBorder="1"/>
    <xf numFmtId="0" fontId="0" fillId="0" borderId="0" xfId="0" applyBorder="1" applyProtection="1">
      <protection locked="0"/>
    </xf>
    <xf numFmtId="0" fontId="0" fillId="8" borderId="21" xfId="0" applyFill="1" applyBorder="1" applyAlignment="1" applyProtection="1">
      <alignment horizontal="center" vertical="center"/>
    </xf>
    <xf numFmtId="0" fontId="0" fillId="12" borderId="21" xfId="0" applyFill="1" applyBorder="1" applyAlignment="1" applyProtection="1">
      <alignment horizontal="center" vertical="center"/>
    </xf>
    <xf numFmtId="0" fontId="0" fillId="12" borderId="43" xfId="0" applyFill="1" applyBorder="1" applyAlignment="1" applyProtection="1">
      <alignment horizontal="center" vertical="center"/>
    </xf>
    <xf numFmtId="0" fontId="0" fillId="9" borderId="43" xfId="0" applyFill="1" applyBorder="1" applyAlignment="1" applyProtection="1">
      <alignment horizontal="center" vertical="center"/>
    </xf>
    <xf numFmtId="164" fontId="0" fillId="0" borderId="0" xfId="0" applyNumberFormat="1" applyFont="1" applyBorder="1" applyAlignment="1" applyProtection="1">
      <alignment vertical="center"/>
      <protection locked="0"/>
    </xf>
    <xf numFmtId="0" fontId="0" fillId="0" borderId="0" xfId="0" applyFont="1" applyProtection="1"/>
    <xf numFmtId="0" fontId="0" fillId="0" borderId="0" xfId="0" applyFont="1" applyFill="1" applyProtection="1"/>
    <xf numFmtId="0" fontId="4" fillId="6" borderId="30" xfId="0" applyFont="1" applyFill="1" applyBorder="1" applyAlignment="1" applyProtection="1">
      <alignment vertical="center"/>
    </xf>
    <xf numFmtId="0" fontId="4" fillId="6" borderId="26" xfId="0" applyFont="1" applyFill="1" applyBorder="1" applyAlignment="1" applyProtection="1">
      <alignment vertical="center"/>
    </xf>
    <xf numFmtId="0" fontId="0" fillId="0" borderId="0" xfId="0" applyAlignment="1" applyProtection="1">
      <alignment vertical="center"/>
    </xf>
    <xf numFmtId="0" fontId="1" fillId="0" borderId="24" xfId="0" applyFont="1" applyBorder="1" applyAlignment="1" applyProtection="1">
      <alignment horizontal="center" vertical="center" wrapText="1"/>
    </xf>
    <xf numFmtId="0" fontId="0" fillId="0" borderId="0" xfId="0" applyAlignment="1" applyProtection="1">
      <alignment horizontal="center" vertical="center" wrapText="1"/>
    </xf>
    <xf numFmtId="1" fontId="0" fillId="0" borderId="0" xfId="0" applyNumberFormat="1" applyFill="1" applyBorder="1" applyAlignment="1" applyProtection="1">
      <alignment horizontal="right"/>
    </xf>
    <xf numFmtId="0" fontId="0" fillId="0" borderId="0" xfId="0" applyFill="1" applyBorder="1" applyProtection="1"/>
    <xf numFmtId="0" fontId="0" fillId="0" borderId="0" xfId="0" applyFill="1" applyProtection="1"/>
    <xf numFmtId="0" fontId="0" fillId="0" borderId="0" xfId="0" applyAlignment="1" applyProtection="1">
      <alignment horizontal="right"/>
    </xf>
    <xf numFmtId="0" fontId="23" fillId="8" borderId="9" xfId="0" applyFont="1" applyFill="1" applyBorder="1" applyAlignment="1" applyProtection="1">
      <alignment horizontal="center" vertical="center" wrapText="1"/>
    </xf>
    <xf numFmtId="0" fontId="23" fillId="8" borderId="15" xfId="0" applyFont="1" applyFill="1" applyBorder="1" applyAlignment="1" applyProtection="1">
      <alignment horizontal="center" vertical="center" wrapText="1"/>
    </xf>
    <xf numFmtId="0" fontId="23" fillId="7" borderId="10" xfId="0" applyFont="1" applyFill="1" applyBorder="1" applyAlignment="1" applyProtection="1">
      <alignment horizontal="center" vertical="center" wrapText="1"/>
    </xf>
    <xf numFmtId="0" fontId="23" fillId="9" borderId="15" xfId="0" applyFont="1" applyFill="1" applyBorder="1" applyAlignment="1" applyProtection="1">
      <alignment horizontal="center" vertical="center" wrapText="1"/>
    </xf>
    <xf numFmtId="0" fontId="9"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protection locked="0"/>
    </xf>
    <xf numFmtId="0" fontId="1" fillId="0" borderId="32" xfId="0" applyFont="1" applyBorder="1" applyAlignment="1" applyProtection="1">
      <alignment horizontal="center" vertical="center" wrapText="1"/>
    </xf>
    <xf numFmtId="0" fontId="4" fillId="6" borderId="29" xfId="0" applyFont="1" applyFill="1" applyBorder="1" applyAlignment="1" applyProtection="1">
      <alignment vertical="center"/>
    </xf>
    <xf numFmtId="0" fontId="1" fillId="0" borderId="22" xfId="0" applyFont="1" applyBorder="1" applyAlignment="1">
      <alignment horizontal="center" vertical="center" wrapText="1"/>
    </xf>
    <xf numFmtId="0" fontId="1" fillId="0" borderId="22" xfId="0" applyFont="1" applyBorder="1" applyAlignment="1">
      <alignment horizontal="center" vertical="center" wrapText="1"/>
    </xf>
    <xf numFmtId="0" fontId="0" fillId="0" borderId="34" xfId="0" applyFill="1" applyBorder="1"/>
    <xf numFmtId="0" fontId="0" fillId="0" borderId="19" xfId="0" applyFill="1" applyBorder="1"/>
    <xf numFmtId="0" fontId="1" fillId="0" borderId="22" xfId="0" applyFont="1" applyBorder="1" applyAlignment="1" applyProtection="1">
      <alignment horizontal="center" vertical="center" wrapText="1"/>
    </xf>
    <xf numFmtId="0" fontId="0" fillId="0" borderId="18" xfId="0" applyFill="1" applyBorder="1" applyAlignment="1">
      <alignment horizontal="right"/>
    </xf>
    <xf numFmtId="1" fontId="1" fillId="0" borderId="0" xfId="0" applyNumberFormat="1" applyFont="1" applyFill="1" applyBorder="1" applyAlignment="1" applyProtection="1">
      <alignment horizontal="right"/>
    </xf>
    <xf numFmtId="0" fontId="1" fillId="0" borderId="0" xfId="0" applyFont="1" applyFill="1" applyBorder="1" applyProtection="1"/>
    <xf numFmtId="0" fontId="0" fillId="0" borderId="0" xfId="0" applyBorder="1" applyProtection="1"/>
    <xf numFmtId="0" fontId="16" fillId="8" borderId="7" xfId="0" applyFont="1" applyFill="1" applyBorder="1" applyAlignment="1" applyProtection="1">
      <alignment horizontal="center" vertical="center"/>
      <protection locked="0"/>
    </xf>
    <xf numFmtId="0" fontId="0" fillId="5" borderId="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3" xfId="0" applyFont="1" applyFill="1" applyBorder="1" applyAlignment="1" applyProtection="1">
      <alignment horizontal="left" vertical="center"/>
      <protection locked="0"/>
    </xf>
    <xf numFmtId="0" fontId="0" fillId="5" borderId="2" xfId="0" applyFont="1" applyFill="1" applyBorder="1" applyAlignment="1" applyProtection="1">
      <alignment horizontal="left" vertical="center"/>
      <protection locked="0"/>
    </xf>
    <xf numFmtId="0" fontId="0" fillId="0" borderId="0" xfId="0" applyFill="1" applyBorder="1" applyAlignment="1">
      <alignment horizontal="right"/>
    </xf>
    <xf numFmtId="0" fontId="6" fillId="6" borderId="0" xfId="1" applyFill="1" applyBorder="1" applyAlignment="1" applyProtection="1">
      <alignment vertical="center"/>
    </xf>
    <xf numFmtId="0" fontId="0" fillId="6" borderId="0" xfId="0" applyFont="1" applyFill="1" applyBorder="1"/>
    <xf numFmtId="0" fontId="0" fillId="6" borderId="0" xfId="0" applyFont="1" applyFill="1" applyBorder="1" applyAlignment="1" applyProtection="1">
      <alignment vertical="center"/>
    </xf>
    <xf numFmtId="0" fontId="6" fillId="6" borderId="0" xfId="1" applyFill="1" applyBorder="1" applyAlignment="1" applyProtection="1">
      <alignment vertical="center" wrapText="1"/>
    </xf>
    <xf numFmtId="0" fontId="0" fillId="6" borderId="0" xfId="0" applyFont="1" applyFill="1" applyBorder="1" applyAlignment="1" applyProtection="1">
      <alignment horizontal="left" vertical="center"/>
    </xf>
    <xf numFmtId="0" fontId="0" fillId="6" borderId="0" xfId="0" applyFont="1" applyFill="1" applyBorder="1" applyProtection="1"/>
    <xf numFmtId="0" fontId="0" fillId="6" borderId="0" xfId="0" applyFont="1" applyFill="1" applyBorder="1" applyAlignment="1" applyProtection="1">
      <alignment horizontal="center" vertical="center"/>
    </xf>
    <xf numFmtId="0" fontId="1" fillId="0" borderId="0" xfId="0" applyFont="1" applyBorder="1"/>
    <xf numFmtId="0" fontId="0" fillId="6" borderId="0" xfId="0" applyFill="1" applyBorder="1"/>
    <xf numFmtId="0" fontId="0" fillId="6" borderId="0" xfId="0" applyFill="1" applyBorder="1" applyProtection="1"/>
    <xf numFmtId="0" fontId="0" fillId="5" borderId="15" xfId="0" applyFont="1" applyFill="1" applyBorder="1" applyAlignment="1" applyProtection="1">
      <alignment horizontal="center" vertical="center"/>
      <protection locked="0"/>
    </xf>
    <xf numFmtId="0" fontId="0" fillId="0" borderId="29" xfId="0" applyBorder="1"/>
    <xf numFmtId="0" fontId="0" fillId="6" borderId="0" xfId="0" applyFont="1" applyFill="1" applyBorder="1" applyAlignment="1" applyProtection="1">
      <alignment horizontal="center" vertical="center"/>
      <protection locked="0"/>
    </xf>
    <xf numFmtId="0" fontId="0" fillId="0" borderId="21" xfId="0" applyBorder="1"/>
    <xf numFmtId="0" fontId="0" fillId="6" borderId="15" xfId="0" applyFont="1" applyFill="1" applyBorder="1" applyAlignment="1" applyProtection="1">
      <alignment horizontal="center" vertical="center"/>
    </xf>
    <xf numFmtId="0" fontId="0" fillId="6" borderId="14" xfId="0" applyFont="1" applyFill="1" applyBorder="1" applyAlignment="1" applyProtection="1">
      <alignment horizontal="center" vertical="center"/>
    </xf>
    <xf numFmtId="0" fontId="9" fillId="0" borderId="0" xfId="0" applyFont="1" applyAlignment="1">
      <alignment vertical="center"/>
    </xf>
    <xf numFmtId="0" fontId="7" fillId="0" borderId="0" xfId="0" applyFont="1" applyAlignment="1">
      <alignment vertical="center" wrapText="1"/>
    </xf>
    <xf numFmtId="0" fontId="8" fillId="0" borderId="0" xfId="0" applyFont="1" applyAlignment="1" applyProtection="1">
      <alignment horizontal="center" vertical="center"/>
      <protection locked="0"/>
    </xf>
    <xf numFmtId="0" fontId="1" fillId="0" borderId="0" xfId="0" applyFont="1" applyAlignment="1">
      <alignment vertical="center"/>
    </xf>
    <xf numFmtId="1" fontId="0" fillId="0" borderId="0" xfId="0" applyNumberFormat="1" applyAlignment="1">
      <alignment horizontal="right"/>
    </xf>
    <xf numFmtId="0" fontId="0" fillId="0" borderId="29" xfId="0" applyBorder="1" applyAlignment="1">
      <alignment vertical="center"/>
    </xf>
    <xf numFmtId="0" fontId="0" fillId="8" borderId="0" xfId="0" applyFill="1" applyBorder="1" applyProtection="1"/>
    <xf numFmtId="0" fontId="17" fillId="8" borderId="0" xfId="0" applyFont="1" applyFill="1" applyBorder="1" applyAlignment="1" applyProtection="1">
      <alignment horizontal="left" vertical="center"/>
    </xf>
    <xf numFmtId="0" fontId="15" fillId="8" borderId="0" xfId="0" applyFont="1" applyFill="1" applyBorder="1" applyProtection="1"/>
    <xf numFmtId="0" fontId="18" fillId="8" borderId="8" xfId="0" applyFont="1" applyFill="1" applyBorder="1" applyAlignment="1" applyProtection="1">
      <alignment vertical="center"/>
    </xf>
    <xf numFmtId="0" fontId="17" fillId="8" borderId="8" xfId="0" applyFont="1" applyFill="1" applyBorder="1" applyAlignment="1" applyProtection="1">
      <alignment vertical="center" wrapText="1"/>
    </xf>
    <xf numFmtId="0" fontId="26" fillId="8" borderId="8" xfId="0" applyFont="1" applyFill="1" applyBorder="1" applyAlignment="1" applyProtection="1">
      <alignment horizontal="center" vertical="center"/>
    </xf>
    <xf numFmtId="0" fontId="0" fillId="8" borderId="0" xfId="0" applyFill="1" applyProtection="1"/>
    <xf numFmtId="0" fontId="17" fillId="6" borderId="0" xfId="0" applyFont="1" applyFill="1" applyBorder="1" applyAlignment="1" applyProtection="1">
      <alignment horizontal="left" vertical="center"/>
    </xf>
    <xf numFmtId="0" fontId="15" fillId="6" borderId="0" xfId="0" applyFont="1" applyFill="1" applyBorder="1" applyProtection="1"/>
    <xf numFmtId="0" fontId="18" fillId="6" borderId="0" xfId="0" applyFont="1" applyFill="1" applyBorder="1" applyAlignment="1" applyProtection="1">
      <alignment vertical="center"/>
    </xf>
    <xf numFmtId="0" fontId="17" fillId="6" borderId="0" xfId="0" applyFont="1" applyFill="1" applyBorder="1" applyAlignment="1" applyProtection="1">
      <alignment vertical="center" wrapText="1"/>
    </xf>
    <xf numFmtId="0" fontId="26" fillId="6" borderId="0" xfId="0" applyFont="1" applyFill="1" applyBorder="1" applyAlignment="1" applyProtection="1">
      <alignment horizontal="center" vertical="center"/>
    </xf>
    <xf numFmtId="0" fontId="0" fillId="6" borderId="0" xfId="0" applyFill="1" applyProtection="1"/>
    <xf numFmtId="0" fontId="12" fillId="6" borderId="0" xfId="0" applyFont="1" applyFill="1" applyBorder="1"/>
    <xf numFmtId="0" fontId="12" fillId="6" borderId="0" xfId="0" applyFont="1" applyFill="1" applyBorder="1" applyAlignment="1" applyProtection="1">
      <alignment vertical="top" wrapText="1"/>
      <protection locked="0"/>
    </xf>
    <xf numFmtId="0" fontId="17" fillId="6" borderId="19" xfId="0" applyFont="1" applyFill="1" applyBorder="1" applyAlignment="1" applyProtection="1">
      <alignment horizontal="left" vertical="center"/>
    </xf>
    <xf numFmtId="0" fontId="0" fillId="6" borderId="0" xfId="0" applyFill="1"/>
    <xf numFmtId="0" fontId="0" fillId="6" borderId="0" xfId="0" applyFont="1" applyFill="1" applyBorder="1" applyAlignment="1" applyProtection="1">
      <alignment vertical="center"/>
    </xf>
    <xf numFmtId="0" fontId="17" fillId="9" borderId="0" xfId="0" applyFont="1" applyFill="1" applyBorder="1" applyAlignment="1" applyProtection="1">
      <alignment horizontal="left" vertical="center"/>
    </xf>
    <xf numFmtId="0" fontId="15" fillId="9" borderId="0" xfId="0" applyFont="1" applyFill="1" applyBorder="1"/>
    <xf numFmtId="0" fontId="18" fillId="9" borderId="0" xfId="0" applyFont="1" applyFill="1" applyBorder="1" applyAlignment="1" applyProtection="1">
      <alignment vertical="center"/>
    </xf>
    <xf numFmtId="0" fontId="17" fillId="9" borderId="0" xfId="0" applyFont="1" applyFill="1" applyBorder="1" applyAlignment="1" applyProtection="1">
      <alignment vertical="center" wrapText="1"/>
    </xf>
    <xf numFmtId="0" fontId="26" fillId="9" borderId="0" xfId="0" applyFont="1" applyFill="1" applyBorder="1" applyAlignment="1" applyProtection="1">
      <alignment horizontal="center" vertical="center"/>
      <protection locked="0"/>
    </xf>
    <xf numFmtId="0" fontId="0" fillId="9" borderId="0" xfId="0" applyFill="1" applyBorder="1"/>
    <xf numFmtId="0" fontId="0" fillId="11" borderId="0" xfId="0" applyFill="1" applyBorder="1"/>
    <xf numFmtId="0" fontId="15" fillId="6" borderId="0" xfId="0" applyFont="1" applyFill="1" applyBorder="1"/>
    <xf numFmtId="0" fontId="26"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vertical="center" wrapText="1"/>
    </xf>
    <xf numFmtId="0" fontId="0" fillId="6" borderId="9" xfId="0" applyFont="1" applyFill="1" applyBorder="1" applyAlignment="1" applyProtection="1">
      <alignment horizontal="left" vertical="center"/>
    </xf>
    <xf numFmtId="0" fontId="0" fillId="6" borderId="8" xfId="0" applyFont="1" applyFill="1" applyBorder="1"/>
    <xf numFmtId="0" fontId="0" fillId="6" borderId="8" xfId="0" applyFont="1" applyFill="1" applyBorder="1" applyAlignment="1" applyProtection="1">
      <alignment vertical="center"/>
    </xf>
    <xf numFmtId="0" fontId="0" fillId="6" borderId="8" xfId="0" applyFont="1" applyFill="1" applyBorder="1" applyAlignment="1" applyProtection="1">
      <alignment vertical="center" wrapText="1"/>
    </xf>
    <xf numFmtId="0" fontId="0" fillId="6" borderId="8" xfId="0" applyFont="1" applyFill="1" applyBorder="1" applyAlignment="1" applyProtection="1">
      <alignment horizontal="center" vertical="center"/>
      <protection locked="0"/>
    </xf>
    <xf numFmtId="0" fontId="0" fillId="6" borderId="7" xfId="0" applyFont="1" applyFill="1" applyBorder="1"/>
    <xf numFmtId="0" fontId="0" fillId="6" borderId="13" xfId="0" applyFont="1" applyFill="1" applyBorder="1" applyAlignment="1" applyProtection="1">
      <alignment horizontal="left" vertical="center"/>
    </xf>
    <xf numFmtId="0" fontId="0" fillId="6" borderId="12" xfId="0" applyFont="1" applyFill="1" applyBorder="1"/>
    <xf numFmtId="0" fontId="0" fillId="6" borderId="6" xfId="0" applyFont="1" applyFill="1" applyBorder="1" applyAlignment="1" applyProtection="1">
      <alignment horizontal="left" vertical="center"/>
    </xf>
    <xf numFmtId="0" fontId="0" fillId="6" borderId="5" xfId="0" applyFont="1" applyFill="1" applyBorder="1"/>
    <xf numFmtId="0" fontId="0" fillId="6" borderId="5" xfId="0" applyFont="1" applyFill="1" applyBorder="1" applyAlignment="1" applyProtection="1">
      <alignment vertical="center"/>
    </xf>
    <xf numFmtId="0" fontId="0" fillId="6" borderId="5" xfId="0" applyFont="1" applyFill="1" applyBorder="1" applyAlignment="1" applyProtection="1">
      <alignment vertical="center" wrapText="1"/>
    </xf>
    <xf numFmtId="0" fontId="0" fillId="6" borderId="5" xfId="0" applyFont="1" applyFill="1" applyBorder="1" applyAlignment="1" applyProtection="1">
      <alignment horizontal="center" vertical="center"/>
      <protection locked="0"/>
    </xf>
    <xf numFmtId="0" fontId="0" fillId="6" borderId="4" xfId="0" applyFont="1" applyFill="1" applyBorder="1"/>
    <xf numFmtId="0" fontId="0" fillId="3" borderId="11" xfId="2" applyNumberFormat="1" applyFont="1" applyFill="1" applyBorder="1" applyAlignment="1" applyProtection="1">
      <alignment horizontal="center" wrapText="1"/>
    </xf>
    <xf numFmtId="0" fontId="0" fillId="0" borderId="11" xfId="2" applyNumberFormat="1" applyFont="1" applyBorder="1" applyAlignment="1" applyProtection="1">
      <alignment horizontal="center" wrapText="1"/>
    </xf>
    <xf numFmtId="0" fontId="0" fillId="3" borderId="14" xfId="2" applyNumberFormat="1" applyFont="1" applyFill="1" applyBorder="1" applyAlignment="1" applyProtection="1">
      <alignment horizontal="center" wrapText="1"/>
    </xf>
    <xf numFmtId="0" fontId="15" fillId="6" borderId="0" xfId="0" applyFont="1" applyFill="1" applyBorder="1" applyAlignment="1" applyProtection="1">
      <alignment horizontal="center" vertical="center"/>
      <protection locked="0"/>
    </xf>
    <xf numFmtId="0" fontId="16" fillId="6" borderId="0" xfId="0" applyFont="1" applyFill="1" applyBorder="1" applyAlignment="1" applyProtection="1">
      <alignment vertical="center" wrapText="1"/>
      <protection locked="0"/>
    </xf>
    <xf numFmtId="0" fontId="14" fillId="13" borderId="3" xfId="0" applyFont="1" applyFill="1" applyBorder="1" applyProtection="1">
      <protection locked="0"/>
    </xf>
    <xf numFmtId="0" fontId="14" fillId="13" borderId="10" xfId="0" applyFont="1" applyFill="1" applyBorder="1" applyAlignment="1" applyProtection="1">
      <alignment horizontal="center" vertical="center"/>
      <protection locked="0"/>
    </xf>
    <xf numFmtId="0" fontId="6" fillId="0" borderId="31" xfId="1" applyBorder="1" applyAlignment="1">
      <alignment horizontal="right" vertical="center"/>
    </xf>
    <xf numFmtId="0" fontId="0" fillId="0" borderId="31" xfId="0" applyBorder="1"/>
    <xf numFmtId="0" fontId="6" fillId="0" borderId="31" xfId="1" applyBorder="1" applyAlignment="1">
      <alignment horizontal="right" vertical="center" wrapText="1"/>
    </xf>
    <xf numFmtId="0" fontId="0" fillId="0" borderId="31" xfId="0" applyBorder="1" applyAlignment="1">
      <alignment vertical="top" wrapText="1"/>
    </xf>
    <xf numFmtId="0" fontId="0" fillId="0" borderId="21" xfId="0" applyBorder="1" applyAlignment="1">
      <alignment vertical="center"/>
    </xf>
    <xf numFmtId="0" fontId="0" fillId="0" borderId="0" xfId="0" applyBorder="1" applyAlignment="1">
      <alignment horizontal="left" vertical="center"/>
    </xf>
    <xf numFmtId="0" fontId="27" fillId="8" borderId="29" xfId="1" applyFont="1" applyFill="1" applyBorder="1" applyAlignment="1">
      <alignment horizontal="right" vertical="center"/>
    </xf>
    <xf numFmtId="0" fontId="27" fillId="7" borderId="0" xfId="1" applyFont="1" applyFill="1" applyBorder="1" applyAlignment="1">
      <alignment horizontal="right" vertical="center"/>
    </xf>
    <xf numFmtId="0" fontId="27" fillId="9" borderId="0" xfId="1" applyFont="1" applyFill="1" applyBorder="1" applyAlignment="1">
      <alignment horizontal="right" vertical="center"/>
    </xf>
    <xf numFmtId="0" fontId="27" fillId="13" borderId="21" xfId="1" applyFont="1" applyFill="1" applyBorder="1" applyAlignment="1">
      <alignment horizontal="right" vertical="center"/>
    </xf>
    <xf numFmtId="0" fontId="27" fillId="9" borderId="21" xfId="1" applyFont="1" applyFill="1" applyBorder="1" applyAlignment="1">
      <alignment horizontal="right" vertical="center"/>
    </xf>
    <xf numFmtId="0" fontId="0" fillId="0" borderId="13" xfId="0" applyFont="1" applyBorder="1" applyProtection="1">
      <protection locked="0"/>
    </xf>
    <xf numFmtId="0" fontId="0" fillId="3" borderId="13" xfId="0" applyFont="1" applyFill="1" applyBorder="1" applyProtection="1">
      <protection locked="0"/>
    </xf>
    <xf numFmtId="0" fontId="0" fillId="3" borderId="6" xfId="0" applyFont="1" applyFill="1" applyBorder="1" applyProtection="1">
      <protection locked="0"/>
    </xf>
    <xf numFmtId="0" fontId="0" fillId="6" borderId="0" xfId="0" applyFill="1" applyBorder="1" applyAlignment="1">
      <alignment horizontal="left" vertical="center"/>
    </xf>
    <xf numFmtId="0" fontId="0" fillId="6" borderId="0" xfId="0" applyFill="1" applyBorder="1" applyAlignment="1">
      <alignment vertical="center"/>
    </xf>
    <xf numFmtId="0" fontId="0" fillId="6" borderId="0" xfId="0" applyFill="1" applyBorder="1" applyAlignment="1">
      <alignment vertical="center" wrapText="1"/>
    </xf>
    <xf numFmtId="0" fontId="7" fillId="13" borderId="0" xfId="0" applyFont="1" applyFill="1" applyBorder="1" applyAlignment="1">
      <alignment horizontal="left" vertical="center"/>
    </xf>
    <xf numFmtId="0" fontId="0" fillId="13" borderId="0" xfId="0" applyFill="1" applyBorder="1"/>
    <xf numFmtId="0" fontId="9" fillId="13" borderId="0" xfId="0" applyFont="1" applyFill="1" applyBorder="1" applyAlignment="1">
      <alignment vertical="center"/>
    </xf>
    <xf numFmtId="0" fontId="7" fillId="13" borderId="0" xfId="0" applyFont="1" applyFill="1" applyBorder="1" applyAlignment="1">
      <alignment vertical="center" wrapText="1"/>
    </xf>
    <xf numFmtId="0" fontId="8" fillId="13" borderId="0" xfId="0" applyFont="1" applyFill="1" applyBorder="1" applyAlignment="1" applyProtection="1">
      <alignment horizontal="center" vertical="center"/>
      <protection locked="0"/>
    </xf>
    <xf numFmtId="0" fontId="0" fillId="0" borderId="0" xfId="0" applyBorder="1" applyAlignment="1" applyProtection="1">
      <alignment vertical="top" wrapText="1"/>
      <protection locked="0"/>
    </xf>
    <xf numFmtId="165" fontId="12" fillId="0" borderId="22" xfId="0" applyNumberFormat="1" applyFont="1" applyBorder="1" applyAlignment="1" applyProtection="1">
      <alignment horizontal="center" vertical="center"/>
      <protection locked="0"/>
    </xf>
    <xf numFmtId="0" fontId="0" fillId="6" borderId="0" xfId="0" applyFill="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38" xfId="0" applyFont="1" applyFill="1" applyBorder="1" applyAlignment="1" applyProtection="1">
      <alignment horizontal="center" vertical="center" wrapText="1"/>
      <protection locked="0"/>
    </xf>
    <xf numFmtId="0" fontId="12" fillId="5" borderId="52" xfId="0" applyFont="1" applyFill="1" applyBorder="1" applyAlignment="1" applyProtection="1">
      <alignment horizontal="center" vertical="center" wrapText="1"/>
      <protection locked="0"/>
    </xf>
    <xf numFmtId="0" fontId="12" fillId="5" borderId="53" xfId="0" applyFont="1" applyFill="1" applyBorder="1" applyAlignment="1" applyProtection="1">
      <alignment horizontal="center" vertical="center" wrapText="1"/>
      <protection locked="0"/>
    </xf>
    <xf numFmtId="0" fontId="29" fillId="0" borderId="24" xfId="0" applyFont="1" applyFill="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9" fillId="0" borderId="22" xfId="0" applyFont="1" applyFill="1" applyBorder="1" applyAlignment="1" applyProtection="1">
      <alignment horizontal="center" vertical="center"/>
      <protection locked="0"/>
    </xf>
    <xf numFmtId="165" fontId="29" fillId="0" borderId="22" xfId="0" applyNumberFormat="1" applyFont="1" applyFill="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14" fillId="8" borderId="51" xfId="0" applyFont="1" applyFill="1" applyBorder="1" applyAlignment="1" applyProtection="1">
      <alignment horizontal="center" vertical="center" wrapText="1"/>
      <protection locked="0"/>
    </xf>
    <xf numFmtId="0" fontId="14" fillId="8" borderId="54" xfId="0" applyFont="1" applyFill="1" applyBorder="1" applyAlignment="1" applyProtection="1">
      <alignment horizontal="center" vertical="center" wrapText="1"/>
      <protection locked="0"/>
    </xf>
    <xf numFmtId="0" fontId="14" fillId="8" borderId="54" xfId="0" applyFont="1" applyFill="1" applyBorder="1" applyAlignment="1" applyProtection="1">
      <alignment horizontal="center" vertical="center"/>
      <protection locked="0"/>
    </xf>
    <xf numFmtId="0" fontId="30" fillId="8" borderId="14" xfId="0" applyFont="1" applyFill="1" applyBorder="1" applyAlignment="1" applyProtection="1">
      <alignment horizontal="center" vertical="center" wrapText="1"/>
      <protection locked="0"/>
    </xf>
    <xf numFmtId="0" fontId="12" fillId="6" borderId="0" xfId="0" applyFont="1" applyFill="1" applyAlignment="1" applyProtection="1">
      <alignment horizontal="center" vertical="center" wrapText="1"/>
      <protection locked="0"/>
    </xf>
    <xf numFmtId="0" fontId="12" fillId="5" borderId="59" xfId="0" applyFont="1" applyFill="1" applyBorder="1" applyAlignment="1" applyProtection="1">
      <alignment horizontal="center" vertical="center" wrapText="1"/>
      <protection locked="0"/>
    </xf>
    <xf numFmtId="0" fontId="14" fillId="7" borderId="13" xfId="0" applyFont="1" applyFill="1" applyBorder="1" applyAlignment="1" applyProtection="1">
      <alignment horizontal="center" vertical="center" wrapText="1"/>
      <protection locked="0"/>
    </xf>
    <xf numFmtId="0" fontId="14" fillId="7" borderId="13" xfId="0" applyFont="1" applyFill="1" applyBorder="1" applyAlignment="1" applyProtection="1">
      <alignment horizontal="center" vertical="center"/>
      <protection locked="0"/>
    </xf>
    <xf numFmtId="0" fontId="14" fillId="7" borderId="6" xfId="0" applyFont="1" applyFill="1" applyBorder="1" applyAlignment="1" applyProtection="1">
      <alignment horizontal="center" vertical="center" wrapText="1"/>
      <protection locked="0"/>
    </xf>
    <xf numFmtId="0" fontId="14" fillId="7" borderId="9" xfId="0" applyFont="1" applyFill="1" applyBorder="1" applyAlignment="1">
      <alignment horizontal="center" vertical="center"/>
    </xf>
    <xf numFmtId="0" fontId="12" fillId="0" borderId="23" xfId="0" applyFont="1" applyFill="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2" fillId="0" borderId="0" xfId="0" applyFont="1" applyAlignment="1">
      <alignment horizontal="center" wrapText="1"/>
    </xf>
    <xf numFmtId="0" fontId="12" fillId="5" borderId="49" xfId="0" applyFont="1" applyFill="1" applyBorder="1" applyAlignment="1" applyProtection="1">
      <alignment horizontal="center" vertical="center" wrapText="1"/>
      <protection locked="0"/>
    </xf>
    <xf numFmtId="0" fontId="12" fillId="5" borderId="36" xfId="0" applyFont="1" applyFill="1" applyBorder="1" applyAlignment="1" applyProtection="1">
      <alignment horizontal="center" vertical="center" wrapText="1"/>
      <protection locked="0"/>
    </xf>
    <xf numFmtId="0" fontId="12" fillId="5" borderId="50" xfId="0" applyFont="1" applyFill="1" applyBorder="1" applyAlignment="1" applyProtection="1">
      <alignment horizontal="center" vertical="center" wrapText="1"/>
      <protection locked="0"/>
    </xf>
    <xf numFmtId="0" fontId="14" fillId="9" borderId="6" xfId="0" applyFont="1" applyFill="1" applyBorder="1" applyAlignment="1" applyProtection="1">
      <alignment horizontal="center" vertical="center" wrapText="1"/>
      <protection locked="0"/>
    </xf>
    <xf numFmtId="0" fontId="14" fillId="9" borderId="62" xfId="0" applyFont="1" applyFill="1" applyBorder="1" applyAlignment="1" applyProtection="1">
      <alignment horizontal="center" vertical="center" wrapText="1"/>
      <protection locked="0"/>
    </xf>
    <xf numFmtId="0" fontId="14" fillId="9" borderId="62" xfId="0" applyFont="1" applyFill="1" applyBorder="1" applyAlignment="1" applyProtection="1">
      <alignment horizontal="center" vertical="center"/>
      <protection locked="0"/>
    </xf>
    <xf numFmtId="0" fontId="14" fillId="9" borderId="63" xfId="0" applyFont="1" applyFill="1" applyBorder="1" applyAlignment="1" applyProtection="1">
      <alignment horizontal="center" vertical="center"/>
      <protection locked="0"/>
    </xf>
    <xf numFmtId="0" fontId="14" fillId="9" borderId="58" xfId="0" applyFont="1" applyFill="1" applyBorder="1" applyAlignment="1" applyProtection="1">
      <alignment horizontal="center" vertical="center" wrapText="1"/>
      <protection locked="0"/>
    </xf>
    <xf numFmtId="0" fontId="12" fillId="0" borderId="52" xfId="0" applyFont="1" applyFill="1" applyBorder="1" applyAlignment="1" applyProtection="1">
      <alignment horizontal="center" vertical="center"/>
      <protection locked="0"/>
    </xf>
    <xf numFmtId="0" fontId="12" fillId="0" borderId="53" xfId="0" applyFont="1" applyFill="1" applyBorder="1" applyAlignment="1" applyProtection="1">
      <alignment horizontal="center" vertical="center"/>
      <protection locked="0"/>
    </xf>
    <xf numFmtId="0" fontId="14" fillId="10" borderId="24" xfId="0" applyFont="1" applyFill="1" applyBorder="1" applyAlignment="1" applyProtection="1">
      <alignment horizontal="center" vertical="center" wrapText="1"/>
      <protection locked="0"/>
    </xf>
    <xf numFmtId="0" fontId="10" fillId="13" borderId="6" xfId="0" applyFont="1" applyFill="1" applyBorder="1" applyAlignment="1" applyProtection="1">
      <alignment horizontal="center" vertical="center" wrapText="1"/>
      <protection locked="0"/>
    </xf>
    <xf numFmtId="0" fontId="10" fillId="13" borderId="61" xfId="0" applyFont="1" applyFill="1" applyBorder="1" applyAlignment="1" applyProtection="1">
      <alignment horizontal="center" vertical="center" wrapText="1"/>
      <protection locked="0"/>
    </xf>
    <xf numFmtId="165" fontId="12" fillId="0" borderId="24" xfId="0" applyNumberFormat="1" applyFont="1" applyBorder="1" applyAlignment="1" applyProtection="1">
      <alignment horizontal="center" vertical="center"/>
      <protection locked="0"/>
    </xf>
    <xf numFmtId="0" fontId="10" fillId="13" borderId="62" xfId="0" applyFont="1" applyFill="1" applyBorder="1" applyAlignment="1" applyProtection="1">
      <alignment horizontal="center" vertical="center" wrapText="1"/>
      <protection locked="0"/>
    </xf>
    <xf numFmtId="0" fontId="10" fillId="13" borderId="62" xfId="0" applyFont="1" applyFill="1" applyBorder="1" applyAlignment="1" applyProtection="1">
      <alignment horizontal="center" vertical="center"/>
      <protection locked="0"/>
    </xf>
    <xf numFmtId="0" fontId="10" fillId="13" borderId="63" xfId="0" applyFont="1" applyFill="1" applyBorder="1" applyAlignment="1" applyProtection="1">
      <alignment horizontal="center" vertical="center"/>
      <protection locked="0"/>
    </xf>
    <xf numFmtId="165" fontId="12" fillId="0" borderId="23" xfId="0" applyNumberFormat="1" applyFont="1" applyBorder="1" applyAlignment="1" applyProtection="1">
      <alignment horizontal="center" vertical="center"/>
      <protection locked="0"/>
    </xf>
    <xf numFmtId="0" fontId="12" fillId="13" borderId="0" xfId="0" applyFont="1" applyFill="1" applyBorder="1" applyAlignment="1" applyProtection="1">
      <alignment horizontal="center" vertical="center"/>
      <protection locked="0"/>
    </xf>
    <xf numFmtId="0" fontId="12" fillId="13" borderId="0" xfId="0" applyFont="1" applyFill="1"/>
    <xf numFmtId="0" fontId="0" fillId="8" borderId="22" xfId="0" applyFill="1" applyBorder="1" applyProtection="1"/>
    <xf numFmtId="0" fontId="0" fillId="5" borderId="22" xfId="0" applyFill="1" applyBorder="1" applyProtection="1"/>
    <xf numFmtId="0" fontId="0" fillId="0" borderId="22" xfId="0" applyBorder="1"/>
    <xf numFmtId="0" fontId="0" fillId="12" borderId="22" xfId="0" applyFill="1" applyBorder="1" applyProtection="1"/>
    <xf numFmtId="0" fontId="0" fillId="9" borderId="22" xfId="0" applyFill="1" applyBorder="1" applyProtection="1"/>
    <xf numFmtId="0" fontId="0" fillId="0" borderId="22" xfId="0" applyBorder="1" applyAlignment="1" applyProtection="1">
      <alignment horizontal="center" wrapText="1"/>
    </xf>
    <xf numFmtId="0" fontId="0" fillId="6" borderId="22" xfId="0" applyFill="1" applyBorder="1" applyAlignment="1" applyProtection="1">
      <alignment horizontal="center" wrapText="1"/>
    </xf>
    <xf numFmtId="0" fontId="14"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protection locked="0"/>
    </xf>
    <xf numFmtId="0" fontId="10" fillId="0" borderId="6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wrapText="1"/>
    </xf>
    <xf numFmtId="0" fontId="10" fillId="0" borderId="65" xfId="0" applyFont="1" applyFill="1" applyBorder="1" applyAlignment="1">
      <alignment horizontal="center" wrapText="1"/>
    </xf>
    <xf numFmtId="0" fontId="34" fillId="8" borderId="62"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6" fillId="9" borderId="37" xfId="0" applyFont="1" applyFill="1" applyBorder="1" applyAlignment="1" applyProtection="1">
      <alignment horizontal="center" vertical="center" wrapText="1"/>
      <protection locked="0"/>
    </xf>
    <xf numFmtId="0" fontId="0" fillId="0" borderId="62" xfId="0" applyFill="1" applyBorder="1" applyAlignment="1" applyProtection="1">
      <alignment horizontal="center" vertical="center" wrapText="1"/>
    </xf>
    <xf numFmtId="0" fontId="0" fillId="0" borderId="22" xfId="0" applyFill="1" applyBorder="1" applyAlignment="1" applyProtection="1">
      <alignment horizontal="center" vertical="center" wrapText="1"/>
    </xf>
    <xf numFmtId="0" fontId="0" fillId="0" borderId="37"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64" xfId="0" applyFill="1" applyBorder="1" applyAlignment="1" applyProtection="1">
      <alignment horizontal="center" vertical="center" wrapText="1"/>
    </xf>
    <xf numFmtId="0" fontId="0" fillId="0" borderId="26" xfId="0" applyBorder="1" applyAlignment="1" applyProtection="1">
      <alignment horizontal="center" wrapText="1"/>
    </xf>
    <xf numFmtId="0" fontId="10" fillId="0" borderId="55" xfId="0" applyFont="1" applyFill="1" applyBorder="1" applyAlignment="1">
      <alignment horizontal="center" wrapText="1"/>
    </xf>
    <xf numFmtId="0" fontId="14" fillId="8" borderId="11" xfId="0" applyFont="1" applyFill="1" applyBorder="1" applyAlignment="1" applyProtection="1">
      <alignment horizontal="center" vertical="center" wrapText="1"/>
      <protection locked="0"/>
    </xf>
    <xf numFmtId="0" fontId="12" fillId="0" borderId="34" xfId="0" applyFont="1" applyFill="1" applyBorder="1" applyAlignment="1" applyProtection="1">
      <alignment horizontal="center" vertical="center"/>
      <protection locked="0"/>
    </xf>
    <xf numFmtId="0" fontId="12" fillId="0" borderId="67" xfId="0" applyFont="1" applyFill="1" applyBorder="1" applyAlignment="1" applyProtection="1">
      <alignment horizontal="center" vertical="center"/>
      <protection locked="0"/>
    </xf>
    <xf numFmtId="0" fontId="14" fillId="8" borderId="58" xfId="0" applyFont="1" applyFill="1" applyBorder="1" applyAlignment="1" applyProtection="1">
      <alignment horizontal="center" vertical="center" wrapText="1"/>
      <protection locked="0"/>
    </xf>
    <xf numFmtId="0" fontId="12" fillId="0" borderId="52" xfId="0" applyFont="1" applyFill="1" applyBorder="1" applyAlignment="1" applyProtection="1">
      <alignment horizontal="center" vertical="center"/>
    </xf>
    <xf numFmtId="0" fontId="12" fillId="0" borderId="53" xfId="0" applyFont="1" applyFill="1" applyBorder="1" applyAlignment="1" applyProtection="1">
      <alignment horizontal="center" vertical="center"/>
    </xf>
    <xf numFmtId="0" fontId="0" fillId="0" borderId="0" xfId="0" applyAlignment="1" applyProtection="1">
      <alignment horizontal="left" vertical="center"/>
      <protection locked="0"/>
    </xf>
    <xf numFmtId="165" fontId="29" fillId="0" borderId="24" xfId="0" applyNumberFormat="1" applyFont="1" applyBorder="1" applyAlignment="1" applyProtection="1">
      <alignment horizontal="center" vertical="center"/>
      <protection locked="0"/>
    </xf>
    <xf numFmtId="0" fontId="1" fillId="0" borderId="22" xfId="0" applyFont="1" applyBorder="1" applyAlignment="1">
      <alignment horizontal="center" vertical="center"/>
    </xf>
    <xf numFmtId="0" fontId="1" fillId="0" borderId="22" xfId="0" applyFont="1" applyFill="1" applyBorder="1" applyAlignment="1">
      <alignment horizontal="center" vertical="center" wrapText="1"/>
    </xf>
    <xf numFmtId="0" fontId="1" fillId="0" borderId="30" xfId="0" applyFont="1" applyBorder="1" applyAlignment="1">
      <alignment horizontal="center" vertical="center" wrapText="1"/>
    </xf>
    <xf numFmtId="0" fontId="1" fillId="0" borderId="26" xfId="0" applyFont="1" applyBorder="1" applyAlignment="1">
      <alignment horizontal="center" vertical="center" wrapText="1"/>
    </xf>
    <xf numFmtId="0" fontId="0" fillId="0" borderId="0" xfId="0" applyBorder="1" applyAlignment="1" applyProtection="1">
      <alignment wrapText="1"/>
    </xf>
    <xf numFmtId="0" fontId="1" fillId="0" borderId="27" xfId="0" applyFont="1" applyBorder="1" applyAlignment="1" applyProtection="1">
      <alignment horizontal="center" vertical="center" wrapText="1"/>
    </xf>
    <xf numFmtId="0" fontId="0" fillId="5" borderId="18" xfId="0"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xf>
    <xf numFmtId="0" fontId="12" fillId="0" borderId="68" xfId="0" applyFont="1" applyFill="1" applyBorder="1" applyAlignment="1" applyProtection="1">
      <alignment horizontal="center" vertical="center"/>
      <protection locked="0"/>
    </xf>
    <xf numFmtId="164" fontId="0" fillId="0" borderId="0" xfId="0" applyNumberFormat="1" applyFont="1" applyBorder="1" applyAlignment="1" applyProtection="1">
      <alignment horizontal="left" vertical="center"/>
      <protection locked="0"/>
    </xf>
    <xf numFmtId="165" fontId="0" fillId="0" borderId="0" xfId="0" applyNumberFormat="1" applyFont="1" applyBorder="1" applyAlignment="1" applyProtection="1">
      <alignment horizontal="left" vertical="center"/>
      <protection locked="0"/>
    </xf>
    <xf numFmtId="0" fontId="0" fillId="6" borderId="0" xfId="0" applyFill="1" applyBorder="1" applyAlignment="1">
      <alignment wrapText="1"/>
    </xf>
    <xf numFmtId="0" fontId="2" fillId="0" borderId="24" xfId="0" applyFont="1" applyFill="1" applyBorder="1" applyAlignment="1" applyProtection="1">
      <alignment horizontal="center" vertical="center"/>
      <protection locked="0"/>
    </xf>
    <xf numFmtId="165" fontId="2" fillId="0" borderId="24" xfId="0" applyNumberFormat="1" applyFont="1" applyFill="1" applyBorder="1" applyAlignment="1" applyProtection="1">
      <alignment horizontal="center" vertical="center"/>
      <protection locked="0"/>
    </xf>
    <xf numFmtId="165" fontId="2" fillId="0" borderId="56" xfId="0" applyNumberFormat="1" applyFont="1" applyFill="1" applyBorder="1" applyAlignment="1" applyProtection="1">
      <alignment horizontal="center" vertical="center"/>
      <protection locked="0"/>
    </xf>
    <xf numFmtId="0" fontId="2" fillId="0" borderId="22" xfId="0" applyFont="1" applyFill="1" applyBorder="1" applyAlignment="1" applyProtection="1">
      <alignment horizontal="center" vertical="center"/>
      <protection locked="0"/>
    </xf>
    <xf numFmtId="165" fontId="2" fillId="0" borderId="22" xfId="0" applyNumberFormat="1" applyFont="1" applyFill="1" applyBorder="1" applyAlignment="1" applyProtection="1">
      <alignment horizontal="center" vertical="center"/>
      <protection locked="0"/>
    </xf>
    <xf numFmtId="165" fontId="2" fillId="0" borderId="37" xfId="0" applyNumberFormat="1" applyFont="1" applyFill="1" applyBorder="1" applyAlignment="1" applyProtection="1">
      <alignment horizontal="center" vertical="center"/>
      <protection locked="0"/>
    </xf>
    <xf numFmtId="0" fontId="2" fillId="0" borderId="36" xfId="0" applyFont="1" applyFill="1" applyBorder="1" applyAlignment="1" applyProtection="1">
      <alignment horizontal="center" vertical="center"/>
      <protection locked="0"/>
    </xf>
    <xf numFmtId="0" fontId="14" fillId="9" borderId="57" xfId="0" applyFont="1" applyFill="1" applyBorder="1" applyAlignment="1" applyProtection="1">
      <alignment horizontal="center" vertical="center" wrapText="1"/>
      <protection locked="0"/>
    </xf>
    <xf numFmtId="0" fontId="0" fillId="0" borderId="13" xfId="0" applyBorder="1" applyProtection="1">
      <protection locked="0"/>
    </xf>
    <xf numFmtId="0" fontId="0" fillId="0" borderId="22" xfId="0" applyBorder="1" applyAlignment="1">
      <alignment vertical="center"/>
    </xf>
    <xf numFmtId="0" fontId="12" fillId="0" borderId="40" xfId="0" applyFont="1" applyFill="1" applyBorder="1" applyAlignment="1" applyProtection="1">
      <alignment horizontal="center" vertical="center"/>
      <protection locked="0"/>
    </xf>
    <xf numFmtId="165" fontId="12" fillId="0" borderId="40" xfId="0" applyNumberFormat="1" applyFont="1" applyBorder="1" applyAlignment="1" applyProtection="1">
      <alignment horizontal="center" vertical="center"/>
      <protection locked="0"/>
    </xf>
    <xf numFmtId="0" fontId="12" fillId="0" borderId="41" xfId="0" applyFont="1" applyBorder="1" applyAlignment="1" applyProtection="1">
      <alignment horizontal="center" vertical="center"/>
      <protection locked="0"/>
    </xf>
    <xf numFmtId="0" fontId="12" fillId="0" borderId="37" xfId="0" applyFont="1" applyBorder="1" applyAlignment="1" applyProtection="1">
      <alignment horizontal="center" vertical="center"/>
      <protection locked="0"/>
    </xf>
    <xf numFmtId="0" fontId="12" fillId="0" borderId="64" xfId="0" applyFont="1" applyBorder="1" applyAlignment="1" applyProtection="1">
      <alignment horizontal="center" vertical="center"/>
      <protection locked="0"/>
    </xf>
    <xf numFmtId="0" fontId="12" fillId="0" borderId="56" xfId="0" applyFont="1" applyFill="1" applyBorder="1" applyAlignment="1" applyProtection="1">
      <alignment horizontal="center" vertical="center"/>
      <protection locked="0"/>
    </xf>
    <xf numFmtId="0" fontId="12" fillId="0" borderId="37"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protection locked="0"/>
    </xf>
    <xf numFmtId="0" fontId="1" fillId="0" borderId="39" xfId="0" applyFont="1" applyBorder="1" applyAlignment="1" applyProtection="1">
      <alignment horizontal="left"/>
    </xf>
    <xf numFmtId="0" fontId="1" fillId="0" borderId="21" xfId="0" applyFont="1" applyBorder="1" applyAlignment="1" applyProtection="1">
      <alignment horizontal="left"/>
    </xf>
    <xf numFmtId="0" fontId="0" fillId="0" borderId="13" xfId="0" applyFill="1" applyBorder="1" applyProtection="1"/>
    <xf numFmtId="0" fontId="0" fillId="0" borderId="0" xfId="0" applyFill="1" applyBorder="1" applyAlignment="1" applyProtection="1">
      <alignment horizontal="center" vertical="center"/>
    </xf>
    <xf numFmtId="0" fontId="0" fillId="0" borderId="6" xfId="0" applyFill="1" applyBorder="1" applyProtection="1"/>
    <xf numFmtId="0" fontId="0" fillId="0" borderId="5" xfId="0" applyFill="1" applyBorder="1" applyAlignment="1" applyProtection="1"/>
    <xf numFmtId="0" fontId="0" fillId="0" borderId="0" xfId="0" applyBorder="1" applyAlignment="1" applyProtection="1">
      <alignment horizontal="right" vertical="center"/>
    </xf>
    <xf numFmtId="0" fontId="0" fillId="0" borderId="0" xfId="0" applyFill="1" applyBorder="1" applyAlignment="1" applyProtection="1">
      <alignment horizontal="right" vertical="center"/>
    </xf>
    <xf numFmtId="0" fontId="0" fillId="8" borderId="21" xfId="0" applyFill="1" applyBorder="1" applyAlignment="1" applyProtection="1">
      <alignment horizontal="right"/>
    </xf>
    <xf numFmtId="0" fontId="0" fillId="12" borderId="21" xfId="0" applyFill="1" applyBorder="1" applyAlignment="1" applyProtection="1">
      <alignment horizontal="right"/>
    </xf>
    <xf numFmtId="0" fontId="0" fillId="9" borderId="43" xfId="0" applyFill="1" applyBorder="1" applyAlignment="1" applyProtection="1">
      <alignment horizontal="right"/>
    </xf>
    <xf numFmtId="0" fontId="0" fillId="0" borderId="22" xfId="0" applyBorder="1" applyAlignment="1">
      <alignment horizontal="center" vertical="center"/>
    </xf>
    <xf numFmtId="0" fontId="0" fillId="0" borderId="22" xfId="0" applyBorder="1" applyAlignment="1">
      <alignment horizontal="center" vertical="center"/>
    </xf>
    <xf numFmtId="0" fontId="0" fillId="0" borderId="0" xfId="0" applyFont="1" applyFill="1" applyBorder="1" applyProtection="1"/>
    <xf numFmtId="0" fontId="0" fillId="0" borderId="22" xfId="0" applyBorder="1" applyAlignment="1">
      <alignment horizontal="center" vertical="center" wrapText="1"/>
    </xf>
    <xf numFmtId="9" fontId="0" fillId="0" borderId="0" xfId="2" applyFont="1" applyProtection="1"/>
    <xf numFmtId="0" fontId="1" fillId="6" borderId="22" xfId="0" applyFont="1" applyFill="1" applyBorder="1" applyAlignment="1" applyProtection="1">
      <alignment horizontal="center" vertical="center"/>
      <protection locked="0"/>
    </xf>
    <xf numFmtId="9" fontId="0" fillId="0" borderId="22" xfId="2" applyFont="1" applyBorder="1" applyAlignment="1" applyProtection="1">
      <alignment horizontal="center" vertical="center"/>
    </xf>
    <xf numFmtId="9" fontId="0" fillId="0" borderId="22" xfId="0" applyNumberFormat="1" applyBorder="1"/>
    <xf numFmtId="9" fontId="0" fillId="0" borderId="0" xfId="2" applyFont="1"/>
    <xf numFmtId="0" fontId="0" fillId="0" borderId="22" xfId="0" applyFill="1" applyBorder="1" applyAlignment="1">
      <alignment horizontal="center" vertical="center" wrapText="1"/>
    </xf>
    <xf numFmtId="0" fontId="0" fillId="0" borderId="24" xfId="0" applyFill="1" applyBorder="1" applyAlignment="1">
      <alignment horizontal="center" vertical="center" wrapText="1"/>
    </xf>
    <xf numFmtId="9" fontId="0" fillId="0" borderId="24" xfId="2" applyFont="1" applyBorder="1" applyAlignment="1" applyProtection="1">
      <alignment horizontal="center" vertical="center"/>
    </xf>
    <xf numFmtId="9" fontId="0" fillId="0" borderId="24" xfId="0" applyNumberFormat="1" applyBorder="1"/>
    <xf numFmtId="0" fontId="29" fillId="0" borderId="37" xfId="0" applyFont="1" applyBorder="1" applyAlignment="1" applyProtection="1">
      <alignment horizontal="center" vertical="center"/>
      <protection locked="0"/>
    </xf>
    <xf numFmtId="0" fontId="29" fillId="6" borderId="37" xfId="0" applyFont="1" applyFill="1" applyBorder="1" applyAlignment="1" applyProtection="1">
      <alignment horizontal="center" vertical="center"/>
      <protection locked="0"/>
    </xf>
    <xf numFmtId="0" fontId="12" fillId="5" borderId="69" xfId="0" applyFont="1" applyFill="1" applyBorder="1" applyAlignment="1" applyProtection="1">
      <alignment horizontal="center" vertical="center" wrapText="1"/>
      <protection locked="0"/>
    </xf>
    <xf numFmtId="0" fontId="12" fillId="0" borderId="32" xfId="0" applyFont="1" applyFill="1" applyBorder="1" applyAlignment="1" applyProtection="1">
      <alignment horizontal="center" vertical="center"/>
      <protection locked="0"/>
    </xf>
    <xf numFmtId="0" fontId="12" fillId="0" borderId="30" xfId="0" applyFont="1" applyFill="1" applyBorder="1" applyAlignment="1" applyProtection="1">
      <alignment horizontal="center" vertical="center"/>
      <protection locked="0"/>
    </xf>
    <xf numFmtId="0" fontId="12" fillId="0" borderId="33" xfId="0" applyFont="1" applyFill="1" applyBorder="1" applyAlignment="1" applyProtection="1">
      <alignment horizontal="center" vertical="center"/>
      <protection locked="0"/>
    </xf>
    <xf numFmtId="0" fontId="0" fillId="0" borderId="34" xfId="0" applyFill="1" applyBorder="1" applyAlignment="1">
      <alignment horizontal="center" vertical="center" wrapText="1"/>
    </xf>
    <xf numFmtId="0" fontId="0" fillId="6" borderId="9" xfId="0" applyFont="1" applyFill="1" applyBorder="1" applyAlignment="1" applyProtection="1">
      <alignment horizontal="left" vertical="center"/>
    </xf>
    <xf numFmtId="0" fontId="0" fillId="6" borderId="13" xfId="0" applyFont="1" applyFill="1" applyBorder="1" applyAlignment="1" applyProtection="1">
      <alignment horizontal="left" vertical="center"/>
    </xf>
    <xf numFmtId="0" fontId="0" fillId="6" borderId="0" xfId="0" applyFont="1" applyFill="1" applyBorder="1" applyAlignment="1" applyProtection="1">
      <alignment horizontal="left" vertical="center"/>
    </xf>
    <xf numFmtId="0" fontId="0" fillId="0" borderId="0" xfId="0" applyBorder="1" applyAlignment="1" applyProtection="1">
      <alignment vertical="top"/>
      <protection locked="0"/>
    </xf>
    <xf numFmtId="0" fontId="0" fillId="14" borderId="0" xfId="0" applyFill="1" applyBorder="1" applyAlignment="1" applyProtection="1">
      <alignment vertical="top"/>
      <protection locked="0"/>
    </xf>
    <xf numFmtId="9" fontId="0" fillId="0" borderId="22" xfId="2" applyFont="1" applyFill="1" applyBorder="1" applyAlignment="1" applyProtection="1">
      <alignment horizontal="center" vertical="center"/>
    </xf>
    <xf numFmtId="0" fontId="1" fillId="2" borderId="24" xfId="0" applyFont="1" applyFill="1" applyBorder="1" applyAlignment="1" applyProtection="1">
      <alignment vertical="center" textRotation="90"/>
    </xf>
    <xf numFmtId="0" fontId="7" fillId="0" borderId="0" xfId="0" applyFont="1" applyFill="1" applyBorder="1" applyAlignment="1" applyProtection="1">
      <alignment vertical="center"/>
    </xf>
    <xf numFmtId="0" fontId="0" fillId="0" borderId="22" xfId="0" applyBorder="1" applyAlignment="1">
      <alignment horizontal="center"/>
    </xf>
    <xf numFmtId="0" fontId="0" fillId="0" borderId="22" xfId="0" applyBorder="1" applyAlignment="1" applyProtection="1">
      <alignment horizontal="center" vertical="center" wrapText="1"/>
      <protection locked="0"/>
    </xf>
    <xf numFmtId="0" fontId="0" fillId="0" borderId="22" xfId="0" applyBorder="1" applyAlignment="1" applyProtection="1">
      <alignment horizontal="center" vertical="center"/>
      <protection locked="0"/>
    </xf>
    <xf numFmtId="0" fontId="1" fillId="0" borderId="26" xfId="0" applyFont="1" applyBorder="1" applyAlignment="1">
      <alignment horizontal="center" vertical="center"/>
    </xf>
    <xf numFmtId="0" fontId="38" fillId="15" borderId="0" xfId="0" applyFont="1" applyFill="1" applyAlignment="1">
      <alignment horizontal="center" vertical="center"/>
    </xf>
    <xf numFmtId="0" fontId="38" fillId="16" borderId="0" xfId="0" applyFont="1" applyFill="1" applyAlignment="1">
      <alignment horizontal="center" vertical="center"/>
    </xf>
    <xf numFmtId="0" fontId="1" fillId="0" borderId="30" xfId="0" applyFont="1" applyFill="1" applyBorder="1" applyAlignment="1">
      <alignment horizontal="center" vertical="center" wrapText="1"/>
    </xf>
    <xf numFmtId="0" fontId="1" fillId="0" borderId="22" xfId="0" applyFont="1" applyFill="1" applyBorder="1" applyAlignment="1">
      <alignment horizontal="center" vertical="center" wrapText="1"/>
    </xf>
    <xf numFmtId="49" fontId="1" fillId="0" borderId="22" xfId="0" applyNumberFormat="1" applyFont="1" applyBorder="1" applyAlignment="1">
      <alignment vertical="center"/>
    </xf>
    <xf numFmtId="0" fontId="6" fillId="0" borderId="29" xfId="1" applyFill="1" applyBorder="1" applyAlignment="1">
      <alignment horizontal="right" vertical="center" wrapText="1"/>
    </xf>
    <xf numFmtId="0" fontId="1" fillId="0" borderId="22" xfId="0" applyFont="1" applyFill="1" applyBorder="1" applyAlignment="1" applyProtection="1">
      <alignment horizontal="center" vertical="center" wrapText="1"/>
    </xf>
    <xf numFmtId="9" fontId="12" fillId="0" borderId="22" xfId="2" applyFont="1" applyBorder="1" applyAlignment="1" applyProtection="1">
      <alignment horizontal="center" vertical="center"/>
    </xf>
    <xf numFmtId="0" fontId="10" fillId="13" borderId="58" xfId="0" applyFont="1" applyFill="1" applyBorder="1" applyAlignment="1" applyProtection="1">
      <alignment horizontal="center" vertical="center" wrapText="1"/>
      <protection locked="0"/>
    </xf>
    <xf numFmtId="165" fontId="12" fillId="6" borderId="22" xfId="0" applyNumberFormat="1" applyFont="1" applyFill="1" applyBorder="1" applyAlignment="1" applyProtection="1">
      <alignment horizontal="center" vertical="center"/>
      <protection locked="0"/>
    </xf>
    <xf numFmtId="0" fontId="0" fillId="0" borderId="22" xfId="0" applyBorder="1" applyAlignment="1">
      <alignment horizontal="center" vertical="center" wrapText="1"/>
    </xf>
    <xf numFmtId="0" fontId="0" fillId="0" borderId="22" xfId="0" applyBorder="1" applyAlignment="1">
      <alignment horizontal="center" vertical="center"/>
    </xf>
    <xf numFmtId="0" fontId="0" fillId="0" borderId="26" xfId="0" applyBorder="1" applyAlignment="1">
      <alignment horizontal="center" vertical="center" wrapText="1"/>
    </xf>
    <xf numFmtId="0" fontId="0" fillId="0" borderId="26" xfId="0" applyBorder="1" applyAlignment="1">
      <alignment horizontal="center" vertical="center"/>
    </xf>
    <xf numFmtId="0" fontId="7" fillId="0" borderId="0" xfId="0" applyFont="1" applyAlignment="1" applyProtection="1">
      <alignment horizontal="center"/>
      <protection locked="0"/>
    </xf>
    <xf numFmtId="0" fontId="0" fillId="0" borderId="0" xfId="0" applyBorder="1" applyProtection="1">
      <protection locked="0"/>
    </xf>
    <xf numFmtId="0" fontId="14" fillId="7" borderId="22" xfId="0" applyFont="1" applyFill="1" applyBorder="1" applyAlignment="1">
      <alignment horizontal="center" vertical="center" wrapText="1"/>
    </xf>
    <xf numFmtId="0" fontId="14" fillId="8" borderId="22" xfId="0" applyFont="1" applyFill="1" applyBorder="1" applyAlignment="1">
      <alignment horizontal="center" vertical="center" wrapText="1"/>
    </xf>
    <xf numFmtId="0" fontId="14" fillId="8" borderId="26" xfId="0" applyFont="1" applyFill="1" applyBorder="1" applyAlignment="1">
      <alignment horizontal="center" vertical="center" wrapText="1"/>
    </xf>
    <xf numFmtId="0" fontId="16" fillId="8" borderId="11" xfId="0" applyFont="1" applyFill="1" applyBorder="1" applyAlignment="1" applyProtection="1">
      <alignment vertical="center"/>
      <protection locked="0"/>
    </xf>
    <xf numFmtId="0" fontId="0" fillId="5" borderId="11" xfId="0" applyFont="1" applyFill="1" applyBorder="1" applyAlignment="1" applyProtection="1">
      <alignment vertical="center"/>
      <protection locked="0"/>
    </xf>
    <xf numFmtId="0" fontId="18" fillId="0" borderId="0" xfId="0" applyFont="1" applyFill="1" applyAlignment="1" applyProtection="1">
      <alignment vertical="center"/>
      <protection locked="0"/>
    </xf>
    <xf numFmtId="0" fontId="14" fillId="10" borderId="22" xfId="0" applyFont="1" applyFill="1" applyBorder="1" applyAlignment="1" applyProtection="1">
      <alignment horizontal="center" vertical="center" wrapText="1"/>
      <protection locked="0"/>
    </xf>
    <xf numFmtId="0" fontId="14" fillId="10" borderId="22" xfId="0" applyFont="1" applyFill="1" applyBorder="1" applyAlignment="1">
      <alignment horizontal="center" vertical="center" wrapText="1"/>
    </xf>
    <xf numFmtId="0" fontId="14" fillId="10" borderId="22" xfId="0" applyFont="1" applyFill="1" applyBorder="1" applyAlignment="1" applyProtection="1">
      <alignment horizontal="center" vertical="center"/>
      <protection locked="0"/>
    </xf>
    <xf numFmtId="0" fontId="0" fillId="0" borderId="22" xfId="0" applyBorder="1" applyProtection="1">
      <protection locked="0"/>
    </xf>
    <xf numFmtId="0" fontId="14" fillId="10" borderId="24"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6" xfId="0" applyBorder="1" applyAlignment="1">
      <alignment horizontal="center" vertical="center"/>
    </xf>
    <xf numFmtId="0" fontId="0" fillId="0" borderId="22" xfId="0" applyBorder="1" applyAlignment="1">
      <alignment horizontal="center" vertical="center"/>
    </xf>
    <xf numFmtId="0" fontId="1" fillId="0" borderId="22" xfId="0" applyFont="1" applyBorder="1" applyAlignment="1" applyProtection="1">
      <alignment horizontal="center" vertical="center" wrapText="1"/>
    </xf>
    <xf numFmtId="0" fontId="17" fillId="11" borderId="0" xfId="0" applyFont="1" applyFill="1" applyBorder="1" applyAlignment="1" applyProtection="1">
      <alignment horizontal="right" vertical="center"/>
      <protection locked="0"/>
    </xf>
    <xf numFmtId="0" fontId="17" fillId="11" borderId="0" xfId="0" applyFont="1" applyFill="1" applyBorder="1" applyAlignment="1" applyProtection="1">
      <alignment horizontal="center" vertical="center"/>
      <protection locked="0"/>
    </xf>
    <xf numFmtId="166" fontId="1" fillId="0" borderId="22" xfId="0" applyNumberFormat="1" applyFont="1" applyBorder="1" applyAlignment="1">
      <alignment horizontal="center" vertical="center"/>
    </xf>
    <xf numFmtId="166" fontId="1" fillId="0" borderId="22" xfId="0" applyNumberFormat="1" applyFont="1" applyFill="1" applyBorder="1" applyAlignment="1" applyProtection="1">
      <alignment horizontal="center" vertical="center"/>
      <protection locked="0"/>
    </xf>
    <xf numFmtId="0" fontId="0" fillId="0" borderId="0" xfId="0" applyFill="1" applyBorder="1" applyProtection="1">
      <protection locked="0"/>
    </xf>
    <xf numFmtId="166" fontId="0" fillId="0" borderId="0" xfId="0" applyNumberFormat="1" applyFill="1" applyBorder="1" applyAlignment="1" applyProtection="1">
      <alignment horizontal="center" vertical="center"/>
      <protection locked="0"/>
    </xf>
    <xf numFmtId="0" fontId="0" fillId="0" borderId="13" xfId="0" applyFill="1" applyBorder="1" applyProtection="1">
      <protection locked="0"/>
    </xf>
    <xf numFmtId="0" fontId="14" fillId="10" borderId="56" xfId="0" applyFont="1" applyFill="1" applyBorder="1" applyAlignment="1">
      <alignment horizontal="center" vertical="center" wrapText="1"/>
    </xf>
    <xf numFmtId="0" fontId="18" fillId="0" borderId="13" xfId="0" applyFont="1" applyFill="1" applyBorder="1" applyAlignment="1" applyProtection="1">
      <alignment vertical="center"/>
      <protection locked="0"/>
    </xf>
    <xf numFmtId="166" fontId="1" fillId="0" borderId="37" xfId="0" applyNumberFormat="1" applyFont="1" applyBorder="1" applyAlignment="1">
      <alignment horizontal="center" vertical="center"/>
    </xf>
    <xf numFmtId="166" fontId="1" fillId="0" borderId="37" xfId="0" applyNumberFormat="1" applyFont="1" applyFill="1" applyBorder="1" applyAlignment="1" applyProtection="1">
      <alignment horizontal="center" vertical="center"/>
      <protection locked="0"/>
    </xf>
    <xf numFmtId="0" fontId="18" fillId="0" borderId="6" xfId="0" applyFont="1" applyFill="1" applyBorder="1" applyAlignment="1" applyProtection="1">
      <alignment vertical="center"/>
      <protection locked="0"/>
    </xf>
    <xf numFmtId="0" fontId="0" fillId="0" borderId="5" xfId="0" applyFill="1" applyBorder="1" applyAlignment="1" applyProtection="1">
      <alignment horizontal="center" vertical="center"/>
      <protection locked="0"/>
    </xf>
    <xf numFmtId="0" fontId="0" fillId="0" borderId="5" xfId="0" applyFill="1" applyBorder="1" applyProtection="1">
      <protection locked="0"/>
    </xf>
    <xf numFmtId="0" fontId="24" fillId="0" borderId="22" xfId="0" applyFont="1" applyBorder="1" applyAlignment="1">
      <alignment horizontal="center" vertical="center" wrapText="1"/>
    </xf>
    <xf numFmtId="166" fontId="1" fillId="6" borderId="52" xfId="0" applyNumberFormat="1" applyFont="1" applyFill="1" applyBorder="1" applyAlignment="1">
      <alignment horizontal="center" vertical="center"/>
    </xf>
    <xf numFmtId="0" fontId="0" fillId="0" borderId="6" xfId="0" applyBorder="1" applyProtection="1">
      <protection locked="0"/>
    </xf>
    <xf numFmtId="0" fontId="0" fillId="0" borderId="5" xfId="0" applyBorder="1" applyAlignment="1" applyProtection="1">
      <alignment horizontal="center" vertical="center"/>
      <protection locked="0"/>
    </xf>
    <xf numFmtId="0" fontId="0" fillId="0" borderId="5" xfId="0" applyBorder="1" applyProtection="1">
      <protection locked="0"/>
    </xf>
    <xf numFmtId="0" fontId="15" fillId="10" borderId="52" xfId="0" applyFont="1" applyFill="1" applyBorder="1" applyAlignment="1" applyProtection="1">
      <alignment horizontal="center" vertical="center"/>
      <protection locked="0"/>
    </xf>
    <xf numFmtId="0" fontId="24" fillId="0" borderId="37" xfId="0" applyFont="1" applyBorder="1" applyAlignment="1">
      <alignment horizontal="center" vertical="center" wrapText="1"/>
    </xf>
    <xf numFmtId="166" fontId="1" fillId="6" borderId="22" xfId="0" applyNumberFormat="1" applyFont="1" applyFill="1" applyBorder="1" applyAlignment="1" applyProtection="1">
      <alignment horizontal="center" vertical="center"/>
    </xf>
    <xf numFmtId="0" fontId="0" fillId="0" borderId="6" xfId="0" applyBorder="1"/>
    <xf numFmtId="0" fontId="0" fillId="0" borderId="5" xfId="0" applyBorder="1"/>
    <xf numFmtId="0" fontId="14" fillId="8" borderId="0" xfId="0" applyFont="1" applyFill="1" applyBorder="1" applyAlignment="1">
      <alignment horizontal="center" vertical="center" wrapText="1"/>
    </xf>
    <xf numFmtId="0" fontId="0" fillId="0" borderId="10" xfId="0" applyBorder="1" applyAlignment="1">
      <alignment vertical="center"/>
    </xf>
    <xf numFmtId="0" fontId="12" fillId="0" borderId="22" xfId="0" applyFont="1" applyBorder="1" applyAlignment="1" applyProtection="1">
      <alignment horizontal="center" vertical="center"/>
      <protection locked="0"/>
    </xf>
    <xf numFmtId="0" fontId="12" fillId="0" borderId="0" xfId="0" applyFont="1" applyProtection="1">
      <protection locked="0"/>
    </xf>
    <xf numFmtId="0" fontId="12" fillId="0" borderId="0" xfId="0" applyFont="1"/>
    <xf numFmtId="166" fontId="12" fillId="0" borderId="22" xfId="0" applyNumberFormat="1" applyFont="1" applyFill="1" applyBorder="1" applyAlignment="1" applyProtection="1">
      <alignment horizontal="center" vertical="center"/>
      <protection locked="0"/>
    </xf>
    <xf numFmtId="0" fontId="12" fillId="0" borderId="22" xfId="0" applyFont="1" applyBorder="1" applyProtection="1">
      <protection locked="0"/>
    </xf>
    <xf numFmtId="0" fontId="12" fillId="0" borderId="22" xfId="0" applyFont="1" applyFill="1" applyBorder="1" applyProtection="1">
      <protection locked="0"/>
    </xf>
    <xf numFmtId="166" fontId="12" fillId="0" borderId="22" xfId="0" applyNumberFormat="1" applyFont="1" applyBorder="1" applyAlignment="1">
      <alignment horizontal="center" vertical="center"/>
    </xf>
    <xf numFmtId="0" fontId="14" fillId="10" borderId="71" xfId="0" applyFont="1" applyFill="1" applyBorder="1" applyAlignment="1">
      <alignment horizontal="center" vertical="center" wrapText="1"/>
    </xf>
    <xf numFmtId="166" fontId="1" fillId="6" borderId="33" xfId="0" applyNumberFormat="1" applyFont="1" applyFill="1" applyBorder="1" applyAlignment="1">
      <alignment horizontal="center" vertical="center"/>
    </xf>
    <xf numFmtId="0" fontId="14" fillId="10" borderId="71" xfId="0" applyFont="1" applyFill="1" applyBorder="1" applyAlignment="1">
      <alignment horizontal="center" vertical="center"/>
    </xf>
    <xf numFmtId="0" fontId="14" fillId="10" borderId="72" xfId="0" applyFont="1" applyFill="1" applyBorder="1" applyAlignment="1">
      <alignment horizontal="center" vertical="center"/>
    </xf>
    <xf numFmtId="166" fontId="1" fillId="6" borderId="70" xfId="0" applyNumberFormat="1" applyFont="1" applyFill="1" applyBorder="1" applyAlignment="1">
      <alignment horizontal="center" vertical="center"/>
    </xf>
    <xf numFmtId="0" fontId="0" fillId="0" borderId="22" xfId="0" applyBorder="1" applyAlignment="1">
      <alignment wrapText="1"/>
    </xf>
    <xf numFmtId="9" fontId="0" fillId="0" borderId="22" xfId="2" applyFont="1" applyBorder="1" applyProtection="1">
      <protection locked="0"/>
    </xf>
    <xf numFmtId="9" fontId="0" fillId="0" borderId="22" xfId="2" applyFont="1" applyBorder="1"/>
    <xf numFmtId="0" fontId="0" fillId="0" borderId="22" xfId="0" applyBorder="1" applyAlignment="1"/>
    <xf numFmtId="0" fontId="0" fillId="0" borderId="22" xfId="0" applyBorder="1" applyAlignment="1" applyProtection="1">
      <protection locked="0"/>
    </xf>
    <xf numFmtId="0" fontId="0" fillId="0" borderId="22" xfId="0" applyBorder="1" applyAlignment="1">
      <alignment horizontal="center" vertical="center"/>
    </xf>
    <xf numFmtId="0" fontId="0" fillId="0" borderId="0" xfId="0" applyBorder="1" applyProtection="1">
      <protection locked="0"/>
    </xf>
    <xf numFmtId="0" fontId="0" fillId="0" borderId="22" xfId="0" applyBorder="1" applyAlignment="1" applyProtection="1">
      <alignment wrapText="1"/>
      <protection locked="0"/>
    </xf>
    <xf numFmtId="0" fontId="0" fillId="0" borderId="22" xfId="0" applyFill="1" applyBorder="1" applyAlignment="1">
      <alignment wrapText="1"/>
    </xf>
    <xf numFmtId="9" fontId="0" fillId="0" borderId="22" xfId="0" applyNumberFormat="1" applyBorder="1" applyProtection="1">
      <protection locked="0"/>
    </xf>
    <xf numFmtId="0" fontId="37" fillId="11" borderId="0" xfId="0" applyFont="1" applyFill="1" applyAlignment="1" applyProtection="1">
      <alignment vertical="center"/>
      <protection locked="0"/>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14" fillId="9" borderId="23" xfId="0" applyFont="1" applyFill="1" applyBorder="1" applyAlignment="1" applyProtection="1">
      <alignment horizontal="center" vertical="center" wrapText="1"/>
      <protection locked="0"/>
    </xf>
    <xf numFmtId="0" fontId="23" fillId="8" borderId="7" xfId="0" applyFont="1" applyFill="1" applyBorder="1" applyAlignment="1" applyProtection="1">
      <alignment horizontal="center" vertical="center" wrapText="1"/>
    </xf>
    <xf numFmtId="0" fontId="12" fillId="3" borderId="67" xfId="0" applyFont="1" applyFill="1" applyBorder="1" applyAlignment="1" applyProtection="1">
      <alignment horizontal="center" vertical="center"/>
    </xf>
    <xf numFmtId="0" fontId="12" fillId="3" borderId="50" xfId="0"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0" fillId="6" borderId="0" xfId="0" applyFont="1" applyFill="1" applyAlignment="1" applyProtection="1">
      <alignment horizontal="center" vertical="center"/>
    </xf>
    <xf numFmtId="0" fontId="12" fillId="0" borderId="24" xfId="0" applyFont="1" applyBorder="1" applyAlignment="1" applyProtection="1">
      <alignment horizontal="center" vertical="center"/>
      <protection locked="0"/>
    </xf>
    <xf numFmtId="0" fontId="0" fillId="0" borderId="0" xfId="0" applyBorder="1" applyAlignment="1" applyProtection="1">
      <alignment vertical="top"/>
    </xf>
    <xf numFmtId="0" fontId="12" fillId="0" borderId="24" xfId="0" applyFont="1" applyBorder="1" applyAlignment="1">
      <alignment horizontal="center" vertical="center"/>
    </xf>
    <xf numFmtId="166" fontId="12" fillId="0" borderId="24" xfId="0" applyNumberFormat="1" applyFont="1" applyBorder="1" applyAlignment="1" applyProtection="1">
      <alignment horizontal="center" vertical="center"/>
      <protection locked="0"/>
    </xf>
    <xf numFmtId="166" fontId="1" fillId="22" borderId="64" xfId="0" applyNumberFormat="1" applyFont="1" applyFill="1" applyBorder="1" applyAlignment="1">
      <alignment horizontal="center" vertical="center"/>
    </xf>
    <xf numFmtId="166" fontId="1" fillId="22" borderId="74" xfId="0" applyNumberFormat="1" applyFont="1" applyFill="1" applyBorder="1" applyAlignment="1">
      <alignment horizontal="center" vertical="center"/>
    </xf>
    <xf numFmtId="166" fontId="1" fillId="6" borderId="53" xfId="0" applyNumberFormat="1" applyFont="1" applyFill="1" applyBorder="1" applyAlignment="1">
      <alignment horizontal="center" vertical="center"/>
    </xf>
    <xf numFmtId="166" fontId="1" fillId="0" borderId="37" xfId="0" applyNumberFormat="1" applyFont="1" applyFill="1" applyBorder="1" applyAlignment="1">
      <alignment horizontal="center" vertical="center"/>
    </xf>
    <xf numFmtId="166" fontId="1" fillId="6" borderId="22" xfId="0" applyNumberFormat="1" applyFont="1" applyFill="1" applyBorder="1" applyAlignment="1">
      <alignment horizontal="center" vertical="center"/>
    </xf>
    <xf numFmtId="0" fontId="14" fillId="10" borderId="22" xfId="0" applyFont="1" applyFill="1" applyBorder="1" applyAlignment="1">
      <alignment horizontal="center" vertical="center"/>
    </xf>
    <xf numFmtId="0" fontId="14" fillId="10" borderId="37" xfId="0" applyFont="1" applyFill="1" applyBorder="1" applyAlignment="1">
      <alignment horizontal="center" vertical="center" wrapText="1"/>
    </xf>
    <xf numFmtId="0" fontId="14" fillId="10" borderId="52" xfId="0" applyFont="1" applyFill="1" applyBorder="1" applyAlignment="1" applyProtection="1">
      <alignment horizontal="center" vertical="center"/>
      <protection locked="0"/>
    </xf>
    <xf numFmtId="166" fontId="1" fillId="0" borderId="52" xfId="0" applyNumberFormat="1" applyFont="1" applyFill="1" applyBorder="1" applyAlignment="1" applyProtection="1">
      <alignment horizontal="center" vertical="center"/>
      <protection locked="0"/>
    </xf>
    <xf numFmtId="166" fontId="1" fillId="0" borderId="53" xfId="0" applyNumberFormat="1" applyFont="1" applyFill="1" applyBorder="1" applyAlignment="1" applyProtection="1">
      <alignment horizontal="center" vertical="center"/>
      <protection locked="0"/>
    </xf>
    <xf numFmtId="166" fontId="1" fillId="6" borderId="37" xfId="0" applyNumberFormat="1" applyFont="1" applyFill="1" applyBorder="1" applyAlignment="1">
      <alignment horizontal="center" vertical="center"/>
    </xf>
    <xf numFmtId="0" fontId="14" fillId="10" borderId="73"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67" xfId="0" applyFont="1" applyFill="1" applyBorder="1" applyAlignment="1">
      <alignment horizontal="center" vertical="center" wrapText="1"/>
    </xf>
    <xf numFmtId="166" fontId="1" fillId="0" borderId="52" xfId="0" applyNumberFormat="1" applyFont="1" applyFill="1" applyBorder="1" applyAlignment="1">
      <alignment horizontal="center" vertical="center"/>
    </xf>
    <xf numFmtId="166" fontId="1" fillId="0" borderId="53" xfId="0" applyNumberFormat="1" applyFont="1" applyFill="1" applyBorder="1" applyAlignment="1">
      <alignment horizontal="center" vertical="center"/>
    </xf>
    <xf numFmtId="0" fontId="12" fillId="0" borderId="24" xfId="0" applyFont="1" applyBorder="1"/>
    <xf numFmtId="9" fontId="0" fillId="0" borderId="22" xfId="3" applyFont="1" applyBorder="1" applyAlignment="1" applyProtection="1">
      <alignment horizontal="center" vertical="center"/>
    </xf>
    <xf numFmtId="9" fontId="0" fillId="0" borderId="22" xfId="0" applyNumberFormat="1" applyBorder="1" applyAlignment="1" applyProtection="1">
      <alignment horizontal="center" vertical="center"/>
    </xf>
    <xf numFmtId="9" fontId="0" fillId="0" borderId="22" xfId="3" applyFont="1" applyBorder="1" applyAlignment="1" applyProtection="1">
      <alignment horizontal="center" vertical="center" wrapText="1"/>
    </xf>
    <xf numFmtId="9" fontId="0" fillId="0" borderId="23" xfId="3" applyFont="1" applyBorder="1" applyAlignment="1" applyProtection="1">
      <alignment horizontal="center" vertical="center" wrapText="1"/>
    </xf>
    <xf numFmtId="9" fontId="0" fillId="0" borderId="23" xfId="0" applyNumberFormat="1" applyBorder="1" applyAlignment="1" applyProtection="1">
      <alignment horizontal="center" vertical="center"/>
    </xf>
    <xf numFmtId="0" fontId="0" fillId="0" borderId="22" xfId="0" applyBorder="1" applyProtection="1"/>
    <xf numFmtId="9" fontId="0" fillId="0" borderId="22" xfId="2" applyFont="1" applyBorder="1" applyProtection="1"/>
    <xf numFmtId="166" fontId="1" fillId="6" borderId="37" xfId="0" applyNumberFormat="1" applyFont="1" applyFill="1" applyBorder="1" applyAlignment="1" applyProtection="1">
      <alignment horizontal="center" vertical="center"/>
    </xf>
    <xf numFmtId="0" fontId="1" fillId="0" borderId="27" xfId="0" applyFont="1" applyBorder="1" applyAlignment="1">
      <alignment horizontal="center" vertical="center" wrapText="1"/>
    </xf>
    <xf numFmtId="0" fontId="4" fillId="6" borderId="22" xfId="0" applyFont="1" applyFill="1" applyBorder="1" applyAlignment="1">
      <alignment vertical="center" wrapText="1"/>
    </xf>
    <xf numFmtId="0" fontId="4" fillId="6" borderId="75" xfId="0" applyFont="1" applyFill="1" applyBorder="1" applyAlignment="1">
      <alignment vertical="center" wrapText="1"/>
    </xf>
    <xf numFmtId="165" fontId="12" fillId="0" borderId="52" xfId="0" applyNumberFormat="1" applyFont="1" applyBorder="1" applyAlignment="1" applyProtection="1">
      <alignment horizontal="center" vertical="center"/>
      <protection locked="0"/>
    </xf>
    <xf numFmtId="0" fontId="0" fillId="11" borderId="78" xfId="0" applyFill="1" applyBorder="1"/>
    <xf numFmtId="0" fontId="0" fillId="26" borderId="78" xfId="0" applyFill="1" applyBorder="1"/>
    <xf numFmtId="0" fontId="0" fillId="17" borderId="78" xfId="0" applyFill="1" applyBorder="1"/>
    <xf numFmtId="0" fontId="0" fillId="27" borderId="78" xfId="0" applyFill="1" applyBorder="1"/>
    <xf numFmtId="0" fontId="0" fillId="28" borderId="78" xfId="0" applyFill="1" applyBorder="1"/>
    <xf numFmtId="0" fontId="0" fillId="19" borderId="78" xfId="0" applyFill="1" applyBorder="1"/>
    <xf numFmtId="0" fontId="0" fillId="23" borderId="78" xfId="0" applyFill="1" applyBorder="1"/>
    <xf numFmtId="0" fontId="0" fillId="13" borderId="78" xfId="0" applyFill="1" applyBorder="1"/>
    <xf numFmtId="0" fontId="0" fillId="29" borderId="78" xfId="0" applyFill="1" applyBorder="1"/>
    <xf numFmtId="0" fontId="0" fillId="8" borderId="78" xfId="0" applyFill="1" applyBorder="1"/>
    <xf numFmtId="0" fontId="0" fillId="24" borderId="78" xfId="0" applyFill="1" applyBorder="1"/>
    <xf numFmtId="0" fontId="0" fillId="30" borderId="78" xfId="0" applyFill="1" applyBorder="1"/>
    <xf numFmtId="0" fontId="0" fillId="9" borderId="78" xfId="0" applyFill="1" applyBorder="1"/>
    <xf numFmtId="0" fontId="0" fillId="31" borderId="78" xfId="0" applyFill="1" applyBorder="1"/>
    <xf numFmtId="0" fontId="0" fillId="32" borderId="78" xfId="0" applyFill="1" applyBorder="1"/>
    <xf numFmtId="0" fontId="0" fillId="10" borderId="78" xfId="0" applyFill="1" applyBorder="1"/>
    <xf numFmtId="0" fontId="0" fillId="33" borderId="78" xfId="0" applyFill="1" applyBorder="1"/>
    <xf numFmtId="0" fontId="0" fillId="25" borderId="78" xfId="0" applyFill="1" applyBorder="1"/>
    <xf numFmtId="0" fontId="0" fillId="34" borderId="78" xfId="0" applyFill="1" applyBorder="1"/>
    <xf numFmtId="0" fontId="0" fillId="35" borderId="78" xfId="0" applyFill="1" applyBorder="1"/>
    <xf numFmtId="0" fontId="0" fillId="0" borderId="77" xfId="0" applyBorder="1"/>
    <xf numFmtId="0" fontId="18" fillId="11" borderId="0" xfId="0" applyFont="1" applyFill="1" applyAlignment="1" applyProtection="1">
      <alignment horizontal="center" vertical="center"/>
      <protection locked="0"/>
    </xf>
    <xf numFmtId="0" fontId="0" fillId="0" borderId="85" xfId="0" applyBorder="1"/>
    <xf numFmtId="0" fontId="0" fillId="0" borderId="84" xfId="0" applyBorder="1"/>
    <xf numFmtId="0" fontId="0" fillId="0" borderId="85" xfId="0" applyBorder="1" applyProtection="1">
      <protection locked="0"/>
    </xf>
    <xf numFmtId="0" fontId="0" fillId="0" borderId="84" xfId="0" applyBorder="1" applyProtection="1">
      <protection locked="0"/>
    </xf>
    <xf numFmtId="0" fontId="0" fillId="0" borderId="94" xfId="0" applyBorder="1"/>
    <xf numFmtId="0" fontId="0" fillId="12" borderId="77" xfId="0" applyFill="1" applyBorder="1"/>
    <xf numFmtId="0" fontId="0" fillId="0" borderId="81" xfId="0" applyBorder="1"/>
    <xf numFmtId="0" fontId="0" fillId="0" borderId="3" xfId="0" applyBorder="1" applyAlignment="1">
      <alignment vertical="top"/>
    </xf>
    <xf numFmtId="0" fontId="0" fillId="0" borderId="2" xfId="0" applyBorder="1" applyAlignment="1">
      <alignment vertical="top"/>
    </xf>
    <xf numFmtId="0" fontId="0" fillId="0" borderId="1" xfId="0" applyBorder="1" applyAlignment="1">
      <alignment vertical="top"/>
    </xf>
    <xf numFmtId="0" fontId="18" fillId="11" borderId="0" xfId="0" applyFont="1" applyFill="1" applyAlignment="1" applyProtection="1">
      <alignment vertical="center"/>
    </xf>
    <xf numFmtId="0" fontId="0" fillId="0" borderId="98" xfId="0" applyBorder="1"/>
    <xf numFmtId="0" fontId="0" fillId="0" borderId="99" xfId="0" applyBorder="1"/>
    <xf numFmtId="0" fontId="0" fillId="0" borderId="98" xfId="0" applyBorder="1" applyProtection="1">
      <protection locked="0"/>
    </xf>
    <xf numFmtId="0" fontId="0" fillId="0" borderId="100" xfId="0" applyBorder="1"/>
    <xf numFmtId="0" fontId="0" fillId="0" borderId="101" xfId="0" applyBorder="1"/>
    <xf numFmtId="0" fontId="0" fillId="0" borderId="102" xfId="0" applyBorder="1"/>
    <xf numFmtId="0" fontId="7" fillId="0" borderId="0" xfId="0" applyFont="1" applyBorder="1" applyAlignment="1">
      <alignment vertical="center"/>
    </xf>
    <xf numFmtId="0" fontId="6" fillId="0" borderId="0" xfId="1" applyBorder="1" applyAlignment="1">
      <alignment horizontal="right" vertical="center" wrapText="1"/>
    </xf>
    <xf numFmtId="0" fontId="0" fillId="0" borderId="0" xfId="0" applyBorder="1" applyAlignment="1">
      <alignment vertical="top" wrapText="1"/>
    </xf>
    <xf numFmtId="0" fontId="0" fillId="0" borderId="31" xfId="0" applyBorder="1" applyAlignment="1">
      <alignment vertical="center"/>
    </xf>
    <xf numFmtId="0" fontId="6" fillId="8" borderId="29" xfId="1" applyFill="1" applyBorder="1" applyAlignment="1">
      <alignment horizontal="right" vertical="center"/>
    </xf>
    <xf numFmtId="0" fontId="6" fillId="13" borderId="21" xfId="1" applyFill="1" applyBorder="1" applyAlignment="1">
      <alignment horizontal="right" vertical="center"/>
    </xf>
    <xf numFmtId="0" fontId="0" fillId="0" borderId="31" xfId="0" applyBorder="1" applyAlignment="1">
      <alignment horizontal="left" vertical="center" wrapText="1"/>
    </xf>
    <xf numFmtId="0" fontId="0" fillId="0" borderId="0" xfId="0" applyAlignment="1">
      <alignment horizontal="left" wrapText="1"/>
    </xf>
    <xf numFmtId="0" fontId="0" fillId="0" borderId="0" xfId="0" applyFont="1" applyAlignment="1">
      <alignment horizontal="left" vertical="top" wrapText="1"/>
    </xf>
    <xf numFmtId="0" fontId="0" fillId="0" borderId="0" xfId="0" applyAlignment="1">
      <alignment horizontal="left" vertical="top" wrapText="1"/>
    </xf>
    <xf numFmtId="0" fontId="0" fillId="0" borderId="31" xfId="0" applyBorder="1" applyAlignment="1">
      <alignment vertical="center" wrapText="1"/>
    </xf>
    <xf numFmtId="0" fontId="0" fillId="0" borderId="0" xfId="0" applyAlignment="1">
      <alignment horizontal="left" vertical="center" wrapText="1"/>
    </xf>
    <xf numFmtId="0" fontId="0" fillId="0" borderId="29" xfId="0" applyBorder="1" applyAlignment="1">
      <alignment vertical="center" wrapText="1"/>
    </xf>
    <xf numFmtId="0" fontId="0" fillId="0" borderId="0" xfId="0" applyBorder="1" applyAlignment="1">
      <alignment vertical="center" wrapText="1"/>
    </xf>
    <xf numFmtId="0" fontId="0" fillId="0" borderId="21" xfId="0" applyBorder="1" applyAlignment="1">
      <alignment vertical="center" wrapText="1"/>
    </xf>
    <xf numFmtId="0" fontId="0" fillId="0" borderId="31" xfId="0" applyFill="1" applyBorder="1" applyAlignment="1">
      <alignment horizontal="left" vertical="center" wrapText="1"/>
    </xf>
    <xf numFmtId="0" fontId="1" fillId="5" borderId="3" xfId="0" applyFont="1" applyFill="1" applyBorder="1" applyAlignment="1" applyProtection="1">
      <alignment vertical="center" wrapText="1"/>
      <protection hidden="1"/>
    </xf>
    <xf numFmtId="0" fontId="1" fillId="5" borderId="2" xfId="0" applyFont="1" applyFill="1" applyBorder="1" applyAlignment="1" applyProtection="1">
      <alignment vertical="center" wrapText="1"/>
      <protection hidden="1"/>
    </xf>
    <xf numFmtId="0" fontId="0" fillId="0" borderId="6" xfId="0" applyFont="1" applyBorder="1" applyAlignment="1">
      <alignment horizontal="left" vertical="center"/>
    </xf>
    <xf numFmtId="0" fontId="0" fillId="0" borderId="5" xfId="0" applyFont="1" applyBorder="1" applyAlignment="1">
      <alignment horizontal="left" vertical="center"/>
    </xf>
    <xf numFmtId="0" fontId="0" fillId="0" borderId="4" xfId="0" applyFont="1" applyBorder="1" applyAlignment="1">
      <alignment horizontal="left" vertical="center"/>
    </xf>
    <xf numFmtId="0" fontId="10" fillId="5" borderId="3" xfId="0" applyFont="1" applyFill="1" applyBorder="1" applyAlignment="1" applyProtection="1">
      <alignment horizontal="left" vertical="center" wrapText="1"/>
      <protection hidden="1"/>
    </xf>
    <xf numFmtId="0" fontId="10" fillId="5" borderId="1" xfId="0" applyFont="1" applyFill="1" applyBorder="1" applyAlignment="1" applyProtection="1">
      <alignment horizontal="left" vertical="center"/>
      <protection hidden="1"/>
    </xf>
    <xf numFmtId="164" fontId="2" fillId="0" borderId="9" xfId="0" applyNumberFormat="1" applyFont="1" applyBorder="1" applyAlignment="1" applyProtection="1">
      <alignment horizontal="left" vertical="center"/>
      <protection locked="0"/>
    </xf>
    <xf numFmtId="164" fontId="2" fillId="0" borderId="8" xfId="0" applyNumberFormat="1" applyFont="1" applyBorder="1" applyAlignment="1" applyProtection="1">
      <alignment horizontal="left" vertical="center"/>
      <protection locked="0"/>
    </xf>
    <xf numFmtId="164" fontId="2" fillId="0" borderId="7" xfId="0" applyNumberFormat="1" applyFont="1" applyBorder="1" applyAlignment="1" applyProtection="1">
      <alignment horizontal="left" vertical="center"/>
      <protection locked="0"/>
    </xf>
    <xf numFmtId="164" fontId="6" fillId="0" borderId="3" xfId="1" applyNumberFormat="1" applyBorder="1" applyAlignment="1" applyProtection="1">
      <alignment horizontal="left" vertical="center"/>
      <protection locked="0"/>
    </xf>
    <xf numFmtId="164" fontId="2" fillId="0" borderId="1" xfId="0" applyNumberFormat="1" applyFont="1" applyBorder="1" applyAlignment="1" applyProtection="1">
      <alignment horizontal="left" vertical="center"/>
      <protection locked="0"/>
    </xf>
    <xf numFmtId="164" fontId="2" fillId="0" borderId="3" xfId="0" applyNumberFormat="1" applyFont="1" applyBorder="1" applyAlignment="1" applyProtection="1">
      <alignment horizontal="left" vertical="center"/>
      <protection locked="0"/>
    </xf>
    <xf numFmtId="164" fontId="2" fillId="0" borderId="2" xfId="0" applyNumberFormat="1" applyFont="1" applyBorder="1" applyAlignment="1" applyProtection="1">
      <alignment horizontal="left" vertical="center"/>
      <protection locked="0"/>
    </xf>
    <xf numFmtId="0" fontId="10" fillId="5" borderId="9" xfId="0" applyFont="1" applyFill="1" applyBorder="1" applyAlignment="1" applyProtection="1">
      <alignment horizontal="left" vertical="center" wrapText="1"/>
      <protection hidden="1"/>
    </xf>
    <xf numFmtId="0" fontId="10" fillId="5" borderId="8" xfId="0" applyFont="1" applyFill="1" applyBorder="1" applyAlignment="1" applyProtection="1">
      <alignment horizontal="left" vertical="center" wrapText="1"/>
      <protection hidden="1"/>
    </xf>
    <xf numFmtId="0" fontId="10" fillId="5" borderId="7" xfId="0" applyFont="1" applyFill="1" applyBorder="1" applyAlignment="1" applyProtection="1">
      <alignment horizontal="left" vertical="center"/>
      <protection hidden="1"/>
    </xf>
    <xf numFmtId="0" fontId="10" fillId="5" borderId="16" xfId="0" applyFont="1" applyFill="1" applyBorder="1" applyAlignment="1" applyProtection="1">
      <alignment horizontal="left" vertical="center" wrapText="1"/>
      <protection hidden="1"/>
    </xf>
    <xf numFmtId="0" fontId="10" fillId="5" borderId="17" xfId="0" applyFont="1" applyFill="1" applyBorder="1" applyAlignment="1" applyProtection="1">
      <alignment horizontal="left" vertical="center"/>
      <protection hidden="1"/>
    </xf>
    <xf numFmtId="0" fontId="1" fillId="5" borderId="3" xfId="0" applyFont="1" applyFill="1" applyBorder="1" applyAlignment="1" applyProtection="1">
      <alignment horizontal="left" vertical="center"/>
      <protection hidden="1"/>
    </xf>
    <xf numFmtId="0" fontId="1" fillId="5" borderId="2" xfId="0" applyFont="1" applyFill="1" applyBorder="1" applyAlignment="1" applyProtection="1">
      <alignment horizontal="left" vertical="center"/>
      <protection hidden="1"/>
    </xf>
    <xf numFmtId="164" fontId="2" fillId="0" borderId="16" xfId="0" applyNumberFormat="1" applyFont="1" applyBorder="1" applyAlignment="1" applyProtection="1">
      <alignment horizontal="left" vertical="center"/>
      <protection locked="0"/>
    </xf>
    <xf numFmtId="164" fontId="2" fillId="0" borderId="20" xfId="0" applyNumberFormat="1" applyFont="1" applyBorder="1" applyAlignment="1" applyProtection="1">
      <alignment horizontal="left" vertical="center"/>
      <protection locked="0"/>
    </xf>
    <xf numFmtId="164" fontId="2" fillId="0" borderId="17" xfId="0" applyNumberFormat="1" applyFont="1" applyBorder="1" applyAlignment="1" applyProtection="1">
      <alignment horizontal="left" vertical="center"/>
      <protection locked="0"/>
    </xf>
    <xf numFmtId="0" fontId="10" fillId="5" borderId="3" xfId="0" applyFont="1" applyFill="1" applyBorder="1" applyAlignment="1" applyProtection="1">
      <alignment horizontal="left" vertical="center"/>
      <protection hidden="1"/>
    </xf>
    <xf numFmtId="0" fontId="10" fillId="5" borderId="2" xfId="0" applyFont="1" applyFill="1" applyBorder="1" applyAlignment="1" applyProtection="1">
      <alignment horizontal="left" vertical="center"/>
      <protection hidden="1"/>
    </xf>
    <xf numFmtId="0" fontId="10" fillId="5" borderId="18" xfId="0" applyFont="1" applyFill="1" applyBorder="1" applyAlignment="1" applyProtection="1">
      <alignment horizontal="left" vertical="center" wrapText="1"/>
      <protection hidden="1"/>
    </xf>
    <xf numFmtId="0" fontId="10" fillId="5" borderId="19" xfId="0" applyFont="1" applyFill="1" applyBorder="1" applyAlignment="1" applyProtection="1">
      <alignment horizontal="left" vertical="center"/>
      <protection hidden="1"/>
    </xf>
    <xf numFmtId="0" fontId="1" fillId="5" borderId="9" xfId="0" applyFont="1" applyFill="1" applyBorder="1" applyAlignment="1" applyProtection="1">
      <alignment horizontal="center" vertical="center" wrapText="1"/>
      <protection hidden="1"/>
    </xf>
    <xf numFmtId="0" fontId="1" fillId="5" borderId="7" xfId="0" applyFont="1" applyFill="1" applyBorder="1" applyAlignment="1" applyProtection="1">
      <alignment horizontal="center" vertical="center" wrapText="1"/>
      <protection hidden="1"/>
    </xf>
    <xf numFmtId="0" fontId="1" fillId="5" borderId="13"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6"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left" vertical="center" wrapText="1"/>
      <protection hidden="1"/>
    </xf>
    <xf numFmtId="0" fontId="1" fillId="5" borderId="2" xfId="0" applyFont="1" applyFill="1" applyBorder="1" applyAlignment="1" applyProtection="1">
      <alignment horizontal="left" vertical="center" wrapText="1"/>
      <protection hidden="1"/>
    </xf>
    <xf numFmtId="0" fontId="0" fillId="0" borderId="3" xfId="0" applyBorder="1" applyAlignment="1">
      <alignment horizontal="left" vertical="center"/>
    </xf>
    <xf numFmtId="0" fontId="0" fillId="0" borderId="2" xfId="0" applyBorder="1" applyAlignment="1">
      <alignment horizontal="left" vertical="center"/>
    </xf>
    <xf numFmtId="0" fontId="0" fillId="0" borderId="1" xfId="0" applyBorder="1" applyAlignment="1">
      <alignment horizontal="left" vertical="center"/>
    </xf>
    <xf numFmtId="0" fontId="1" fillId="5" borderId="1" xfId="0" applyFont="1" applyFill="1" applyBorder="1" applyAlignment="1" applyProtection="1">
      <alignment horizontal="left" vertical="center" wrapText="1"/>
      <protection hidden="1"/>
    </xf>
    <xf numFmtId="164" fontId="0" fillId="0" borderId="3" xfId="0" applyNumberFormat="1" applyFont="1" applyBorder="1" applyAlignment="1" applyProtection="1">
      <alignment horizontal="left" vertical="center"/>
      <protection locked="0"/>
    </xf>
    <xf numFmtId="164" fontId="0" fillId="0" borderId="2" xfId="0" applyNumberFormat="1" applyFont="1" applyBorder="1" applyAlignment="1" applyProtection="1">
      <alignment horizontal="left" vertical="center"/>
      <protection locked="0"/>
    </xf>
    <xf numFmtId="164" fontId="0" fillId="0" borderId="1" xfId="0" applyNumberFormat="1" applyFont="1" applyBorder="1" applyAlignment="1" applyProtection="1">
      <alignment horizontal="left" vertical="center"/>
      <protection locked="0"/>
    </xf>
    <xf numFmtId="0" fontId="0" fillId="0" borderId="0" xfId="0" applyFill="1" applyAlignment="1">
      <alignment horizontal="left" vertical="center"/>
    </xf>
    <xf numFmtId="0" fontId="10" fillId="5" borderId="7" xfId="0" applyFont="1" applyFill="1" applyBorder="1" applyAlignment="1" applyProtection="1">
      <alignment horizontal="left" vertical="center" wrapText="1"/>
      <protection hidden="1"/>
    </xf>
    <xf numFmtId="0" fontId="41" fillId="37" borderId="0" xfId="0" applyFont="1" applyFill="1" applyBorder="1" applyAlignment="1">
      <alignment horizontal="center" vertical="center"/>
    </xf>
    <xf numFmtId="9" fontId="41" fillId="37" borderId="0" xfId="2" applyFont="1" applyFill="1" applyBorder="1" applyAlignment="1">
      <alignment horizontal="center" vertical="center"/>
    </xf>
    <xf numFmtId="0" fontId="40" fillId="37" borderId="95" xfId="0" applyFont="1" applyFill="1" applyBorder="1" applyAlignment="1">
      <alignment horizontal="center" vertical="center"/>
    </xf>
    <xf numFmtId="0" fontId="40" fillId="37" borderId="96" xfId="0" applyFont="1" applyFill="1" applyBorder="1" applyAlignment="1">
      <alignment horizontal="center" vertical="center"/>
    </xf>
    <xf numFmtId="0" fontId="40" fillId="37" borderId="97" xfId="0" applyFont="1" applyFill="1" applyBorder="1" applyAlignment="1">
      <alignment horizontal="center" vertical="center"/>
    </xf>
    <xf numFmtId="0" fontId="3" fillId="37" borderId="0" xfId="0" applyFont="1" applyFill="1" applyBorder="1" applyAlignment="1">
      <alignment horizontal="center" vertical="center" wrapText="1"/>
    </xf>
    <xf numFmtId="0" fontId="0" fillId="0" borderId="79" xfId="0" applyBorder="1" applyAlignment="1" applyProtection="1">
      <alignment horizontal="center"/>
    </xf>
    <xf numFmtId="0" fontId="0" fillId="0" borderId="80" xfId="0" applyBorder="1" applyAlignment="1" applyProtection="1">
      <alignment horizontal="center"/>
    </xf>
    <xf numFmtId="0" fontId="2" fillId="0" borderId="94" xfId="0" applyFont="1" applyBorder="1" applyAlignment="1" applyProtection="1">
      <alignment horizontal="center" textRotation="90" wrapText="1"/>
      <protection locked="0"/>
    </xf>
    <xf numFmtId="0" fontId="2" fillId="0" borderId="84" xfId="0" applyFont="1" applyBorder="1" applyAlignment="1" applyProtection="1">
      <alignment horizontal="center" textRotation="90" wrapText="1"/>
      <protection locked="0"/>
    </xf>
    <xf numFmtId="0" fontId="2" fillId="0" borderId="94" xfId="0" applyFont="1" applyBorder="1" applyAlignment="1" applyProtection="1">
      <alignment horizontal="right" vertical="center" textRotation="90" wrapText="1"/>
      <protection locked="0"/>
    </xf>
    <xf numFmtId="0" fontId="2" fillId="0" borderId="85" xfId="0" applyFont="1" applyBorder="1" applyAlignment="1" applyProtection="1">
      <alignment horizontal="right" vertical="center" textRotation="90" wrapText="1"/>
      <protection locked="0"/>
    </xf>
    <xf numFmtId="0" fontId="2" fillId="0" borderId="84" xfId="0" applyFont="1" applyBorder="1" applyAlignment="1" applyProtection="1">
      <alignment horizontal="right" vertical="center" textRotation="90" wrapText="1"/>
      <protection locked="0"/>
    </xf>
    <xf numFmtId="0" fontId="2" fillId="0" borderId="94" xfId="0" applyFont="1" applyBorder="1" applyAlignment="1" applyProtection="1">
      <alignment horizontal="center" vertical="center" textRotation="90" wrapText="1"/>
      <protection locked="0"/>
    </xf>
    <xf numFmtId="0" fontId="2" fillId="0" borderId="85" xfId="0" applyFont="1" applyBorder="1" applyAlignment="1" applyProtection="1">
      <alignment horizontal="center" vertical="center" textRotation="90" wrapText="1"/>
      <protection locked="0"/>
    </xf>
    <xf numFmtId="0" fontId="2" fillId="0" borderId="84" xfId="0" applyFont="1" applyBorder="1" applyAlignment="1" applyProtection="1">
      <alignment horizontal="center" vertical="center" textRotation="90" wrapText="1"/>
      <protection locked="0"/>
    </xf>
    <xf numFmtId="0" fontId="30" fillId="36" borderId="82" xfId="0" applyFont="1" applyFill="1" applyBorder="1" applyAlignment="1">
      <alignment horizontal="center" vertical="center"/>
    </xf>
    <xf numFmtId="0" fontId="30" fillId="36" borderId="81" xfId="0" applyFont="1" applyFill="1" applyBorder="1" applyAlignment="1">
      <alignment horizontal="center" vertical="center"/>
    </xf>
    <xf numFmtId="0" fontId="30" fillId="36" borderId="83" xfId="0" applyFont="1" applyFill="1" applyBorder="1" applyAlignment="1">
      <alignment horizontal="center" vertical="center"/>
    </xf>
    <xf numFmtId="0" fontId="0" fillId="0" borderId="22" xfId="0" applyFill="1"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xf>
    <xf numFmtId="0" fontId="16" fillId="8" borderId="86" xfId="0" applyFont="1" applyFill="1" applyBorder="1" applyAlignment="1">
      <alignment horizontal="left" vertical="center"/>
    </xf>
    <xf numFmtId="0" fontId="16" fillId="8" borderId="76" xfId="0" applyFont="1" applyFill="1" applyBorder="1" applyAlignment="1">
      <alignment horizontal="left" vertical="center"/>
    </xf>
    <xf numFmtId="0" fontId="16" fillId="8" borderId="92" xfId="0" applyFont="1" applyFill="1" applyBorder="1" applyAlignment="1">
      <alignment horizontal="left" vertical="center"/>
    </xf>
    <xf numFmtId="0" fontId="16" fillId="24" borderId="86" xfId="0" applyFont="1" applyFill="1" applyBorder="1" applyAlignment="1">
      <alignment horizontal="left" vertical="center"/>
    </xf>
    <xf numFmtId="0" fontId="16" fillId="24" borderId="76" xfId="0" applyFont="1" applyFill="1" applyBorder="1" applyAlignment="1">
      <alignment horizontal="left" vertical="center"/>
    </xf>
    <xf numFmtId="0" fontId="16" fillId="24" borderId="92" xfId="0" applyFont="1" applyFill="1" applyBorder="1" applyAlignment="1">
      <alignment horizontal="left" vertical="center"/>
    </xf>
    <xf numFmtId="0" fontId="16" fillId="25" borderId="87" xfId="0" applyFont="1" applyFill="1" applyBorder="1" applyAlignment="1">
      <alignment horizontal="left" vertical="center"/>
    </xf>
    <xf numFmtId="0" fontId="16" fillId="25" borderId="88" xfId="0" applyFont="1" applyFill="1" applyBorder="1" applyAlignment="1">
      <alignment horizontal="left" vertical="center"/>
    </xf>
    <xf numFmtId="0" fontId="16" fillId="25" borderId="93" xfId="0" applyFont="1" applyFill="1" applyBorder="1" applyAlignment="1">
      <alignment horizontal="left" vertical="center"/>
    </xf>
    <xf numFmtId="0" fontId="0" fillId="0" borderId="0" xfId="0" applyAlignment="1" applyProtection="1">
      <alignment horizontal="center" vertical="center" wrapText="1"/>
      <protection locked="0"/>
    </xf>
    <xf numFmtId="0" fontId="1" fillId="0" borderId="89" xfId="0" applyFont="1" applyBorder="1" applyAlignment="1">
      <alignment horizontal="center" vertical="center"/>
    </xf>
    <xf numFmtId="0" fontId="1" fillId="0" borderId="90" xfId="0" applyFont="1" applyBorder="1" applyAlignment="1">
      <alignment horizontal="center" vertical="center"/>
    </xf>
    <xf numFmtId="0" fontId="1" fillId="0" borderId="91" xfId="0" applyFont="1" applyBorder="1" applyAlignment="1">
      <alignment horizontal="center" vertical="center"/>
    </xf>
    <xf numFmtId="0" fontId="0" fillId="0" borderId="30" xfId="0" applyBorder="1" applyAlignment="1">
      <alignment horizontal="center"/>
    </xf>
    <xf numFmtId="0" fontId="0" fillId="0" borderId="31" xfId="0" applyBorder="1" applyAlignment="1">
      <alignment horizontal="center"/>
    </xf>
    <xf numFmtId="0" fontId="0" fillId="0" borderId="26" xfId="0" applyBorder="1" applyAlignment="1">
      <alignment horizontal="center"/>
    </xf>
    <xf numFmtId="0" fontId="0" fillId="0" borderId="33" xfId="0" applyBorder="1" applyAlignment="1">
      <alignment horizontal="center" vertical="center" wrapText="1"/>
    </xf>
    <xf numFmtId="0" fontId="0" fillId="0" borderId="29" xfId="0" applyBorder="1" applyAlignment="1">
      <alignment horizontal="center" vertical="center" wrapText="1"/>
    </xf>
    <xf numFmtId="0" fontId="0" fillId="0" borderId="25" xfId="0" applyBorder="1" applyAlignment="1">
      <alignment horizontal="center" vertical="center" wrapText="1"/>
    </xf>
    <xf numFmtId="0" fontId="1" fillId="0" borderId="30" xfId="0" applyFont="1" applyBorder="1" applyAlignment="1">
      <alignment horizontal="center"/>
    </xf>
    <xf numFmtId="0" fontId="1" fillId="0" borderId="31" xfId="0" applyFont="1" applyBorder="1" applyAlignment="1">
      <alignment horizontal="center"/>
    </xf>
    <xf numFmtId="0" fontId="1" fillId="0" borderId="26" xfId="0" applyFont="1" applyBorder="1" applyAlignment="1">
      <alignment horizontal="center"/>
    </xf>
    <xf numFmtId="0" fontId="0" fillId="0" borderId="30" xfId="0" applyBorder="1" applyAlignment="1">
      <alignment horizontal="center" vertical="center"/>
    </xf>
    <xf numFmtId="0" fontId="0" fillId="0" borderId="26" xfId="0" applyBorder="1" applyAlignment="1">
      <alignment horizontal="center" vertical="center"/>
    </xf>
    <xf numFmtId="0" fontId="0" fillId="0" borderId="31" xfId="0" applyBorder="1" applyAlignment="1">
      <alignment horizontal="center" vertical="center"/>
    </xf>
    <xf numFmtId="0" fontId="16" fillId="12" borderId="86" xfId="0" applyFont="1" applyFill="1" applyBorder="1" applyAlignment="1">
      <alignment horizontal="left" vertical="center"/>
    </xf>
    <xf numFmtId="0" fontId="16" fillId="12" borderId="76" xfId="0" applyFont="1" applyFill="1" applyBorder="1" applyAlignment="1">
      <alignment horizontal="left" vertical="center"/>
    </xf>
    <xf numFmtId="0" fontId="16" fillId="12" borderId="92" xfId="0" applyFont="1" applyFill="1" applyBorder="1" applyAlignment="1">
      <alignment horizontal="left" vertical="center"/>
    </xf>
    <xf numFmtId="0" fontId="16" fillId="23" borderId="86" xfId="0" applyFont="1" applyFill="1" applyBorder="1" applyAlignment="1">
      <alignment horizontal="left" vertical="center"/>
    </xf>
    <xf numFmtId="0" fontId="16" fillId="23" borderId="76" xfId="0" applyFont="1" applyFill="1" applyBorder="1" applyAlignment="1">
      <alignment horizontal="left" vertical="center"/>
    </xf>
    <xf numFmtId="0" fontId="16" fillId="23" borderId="92" xfId="0" applyFont="1" applyFill="1" applyBorder="1" applyAlignment="1">
      <alignment horizontal="left" vertical="center"/>
    </xf>
    <xf numFmtId="0" fontId="14" fillId="13" borderId="46" xfId="0" applyFont="1" applyFill="1" applyBorder="1" applyAlignment="1" applyProtection="1">
      <alignment horizontal="center" vertical="center" wrapText="1"/>
      <protection locked="0"/>
    </xf>
    <xf numFmtId="0" fontId="14" fillId="13" borderId="47" xfId="0" applyFont="1" applyFill="1" applyBorder="1" applyAlignment="1" applyProtection="1">
      <alignment horizontal="center" vertical="center" wrapText="1"/>
      <protection locked="0"/>
    </xf>
    <xf numFmtId="0" fontId="14" fillId="13" borderId="48" xfId="0" applyFont="1" applyFill="1" applyBorder="1" applyAlignment="1" applyProtection="1">
      <alignment horizontal="center" vertical="center" wrapText="1"/>
      <protection locked="0"/>
    </xf>
    <xf numFmtId="0" fontId="14" fillId="14" borderId="46" xfId="0" applyFont="1" applyFill="1" applyBorder="1" applyAlignment="1" applyProtection="1">
      <alignment horizontal="center" vertical="center" wrapText="1"/>
      <protection locked="0"/>
    </xf>
    <xf numFmtId="0" fontId="14" fillId="14" borderId="47" xfId="0" applyFont="1" applyFill="1" applyBorder="1" applyAlignment="1" applyProtection="1">
      <alignment horizontal="center" vertical="center" wrapText="1"/>
      <protection locked="0"/>
    </xf>
    <xf numFmtId="0" fontId="14" fillId="14" borderId="48" xfId="0" applyFont="1" applyFill="1" applyBorder="1" applyAlignment="1" applyProtection="1">
      <alignment horizontal="center" vertical="center" wrapText="1"/>
      <protection locked="0"/>
    </xf>
    <xf numFmtId="0" fontId="18" fillId="11" borderId="9" xfId="0" applyFont="1" applyFill="1" applyBorder="1" applyAlignment="1" applyProtection="1">
      <alignment horizontal="center" vertical="center" wrapText="1"/>
      <protection locked="0"/>
    </xf>
    <xf numFmtId="0" fontId="18" fillId="11" borderId="8" xfId="0" applyFont="1" applyFill="1" applyBorder="1" applyAlignment="1" applyProtection="1">
      <alignment horizontal="center" vertical="center" wrapText="1"/>
      <protection locked="0"/>
    </xf>
    <xf numFmtId="0" fontId="18" fillId="11" borderId="7" xfId="0" applyFont="1" applyFill="1" applyBorder="1" applyAlignment="1" applyProtection="1">
      <alignment horizontal="center" vertical="center" wrapText="1"/>
      <protection locked="0"/>
    </xf>
    <xf numFmtId="0" fontId="14" fillId="17" borderId="46" xfId="0" applyFont="1" applyFill="1" applyBorder="1" applyAlignment="1" applyProtection="1">
      <alignment horizontal="center" vertical="center" wrapText="1"/>
      <protection locked="0"/>
    </xf>
    <xf numFmtId="0" fontId="14" fillId="17" borderId="47" xfId="0" applyFont="1" applyFill="1" applyBorder="1" applyAlignment="1" applyProtection="1">
      <alignment horizontal="center" vertical="center" wrapText="1"/>
      <protection locked="0"/>
    </xf>
    <xf numFmtId="0" fontId="14" fillId="17" borderId="48" xfId="0" applyFont="1" applyFill="1" applyBorder="1" applyAlignment="1" applyProtection="1">
      <alignment horizontal="center" vertical="center" wrapText="1"/>
      <protection locked="0"/>
    </xf>
    <xf numFmtId="0" fontId="14" fillId="19" borderId="46" xfId="0" applyFont="1" applyFill="1" applyBorder="1" applyAlignment="1" applyProtection="1">
      <alignment horizontal="center" vertical="center" wrapText="1"/>
      <protection locked="0"/>
    </xf>
    <xf numFmtId="0" fontId="14" fillId="19" borderId="47" xfId="0" applyFont="1" applyFill="1" applyBorder="1" applyAlignment="1" applyProtection="1">
      <alignment horizontal="center" vertical="center" wrapText="1"/>
      <protection locked="0"/>
    </xf>
    <xf numFmtId="0" fontId="14" fillId="19" borderId="48" xfId="0" applyFont="1" applyFill="1" applyBorder="1" applyAlignment="1" applyProtection="1">
      <alignment horizontal="center" vertical="center" wrapText="1"/>
      <protection locked="0"/>
    </xf>
    <xf numFmtId="0" fontId="14" fillId="18" borderId="46" xfId="0" applyFont="1" applyFill="1" applyBorder="1" applyAlignment="1" applyProtection="1">
      <alignment horizontal="center" vertical="center" wrapText="1"/>
      <protection locked="0"/>
    </xf>
    <xf numFmtId="0" fontId="14" fillId="18" borderId="47" xfId="0" applyFont="1" applyFill="1" applyBorder="1" applyAlignment="1" applyProtection="1">
      <alignment horizontal="center" vertical="center" wrapText="1"/>
      <protection locked="0"/>
    </xf>
    <xf numFmtId="0" fontId="14" fillId="18" borderId="48" xfId="0" applyFont="1" applyFill="1" applyBorder="1" applyAlignment="1" applyProtection="1">
      <alignment horizontal="center" vertical="center" wrapText="1"/>
      <protection locked="0"/>
    </xf>
    <xf numFmtId="0" fontId="14" fillId="13" borderId="22" xfId="0" applyFont="1" applyFill="1" applyBorder="1" applyAlignment="1">
      <alignment horizontal="center" vertical="center"/>
    </xf>
    <xf numFmtId="0" fontId="1" fillId="6" borderId="30" xfId="0" applyFont="1" applyFill="1" applyBorder="1" applyAlignment="1" applyProtection="1">
      <alignment horizontal="center" vertical="center"/>
      <protection locked="0"/>
    </xf>
    <xf numFmtId="0" fontId="1" fillId="6" borderId="26" xfId="0" applyFont="1" applyFill="1" applyBorder="1" applyAlignment="1" applyProtection="1">
      <alignment horizontal="center" vertical="center"/>
      <protection locked="0"/>
    </xf>
    <xf numFmtId="0" fontId="14" fillId="8" borderId="22" xfId="0" applyFont="1" applyFill="1" applyBorder="1" applyAlignment="1">
      <alignment horizontal="center" vertical="center"/>
    </xf>
    <xf numFmtId="0" fontId="14" fillId="7" borderId="22" xfId="0" applyFont="1" applyFill="1" applyBorder="1" applyAlignment="1">
      <alignment horizontal="center" vertical="center"/>
    </xf>
    <xf numFmtId="0" fontId="14" fillId="9" borderId="22" xfId="0" applyFont="1" applyFill="1" applyBorder="1" applyAlignment="1">
      <alignment horizontal="center" vertical="center"/>
    </xf>
    <xf numFmtId="0" fontId="0" fillId="0" borderId="0" xfId="0" applyBorder="1" applyProtection="1">
      <protection locked="0"/>
    </xf>
    <xf numFmtId="9" fontId="1" fillId="0" borderId="5" xfId="2" applyFont="1" applyFill="1" applyBorder="1" applyAlignment="1" applyProtection="1">
      <alignment horizontal="right"/>
    </xf>
    <xf numFmtId="9" fontId="1" fillId="0" borderId="4" xfId="2" applyFont="1" applyFill="1" applyBorder="1" applyAlignment="1" applyProtection="1">
      <alignment horizontal="right"/>
    </xf>
    <xf numFmtId="0" fontId="1" fillId="6" borderId="30" xfId="0" applyFont="1" applyFill="1" applyBorder="1" applyAlignment="1" applyProtection="1">
      <alignment horizontal="center" vertical="center" wrapText="1"/>
      <protection locked="0"/>
    </xf>
    <xf numFmtId="0" fontId="1" fillId="6" borderId="31" xfId="0" applyFont="1" applyFill="1" applyBorder="1" applyAlignment="1" applyProtection="1">
      <alignment horizontal="center" vertical="center" wrapText="1"/>
      <protection locked="0"/>
    </xf>
    <xf numFmtId="0" fontId="1" fillId="6" borderId="26" xfId="0" applyFont="1" applyFill="1" applyBorder="1" applyAlignment="1" applyProtection="1">
      <alignment horizontal="center" vertical="center" wrapText="1"/>
      <protection locked="0"/>
    </xf>
    <xf numFmtId="9" fontId="1" fillId="0" borderId="0" xfId="2" applyFont="1" applyBorder="1" applyAlignment="1" applyProtection="1">
      <alignment horizontal="right" vertical="center"/>
    </xf>
    <xf numFmtId="9" fontId="1" fillId="0" borderId="12" xfId="2" applyFont="1" applyBorder="1" applyAlignment="1" applyProtection="1">
      <alignment horizontal="right" vertical="center"/>
    </xf>
    <xf numFmtId="9" fontId="1" fillId="0" borderId="29" xfId="2" applyFont="1" applyBorder="1" applyAlignment="1" applyProtection="1">
      <alignment horizontal="right" vertical="center"/>
    </xf>
    <xf numFmtId="9" fontId="1" fillId="0" borderId="66" xfId="2" applyFont="1" applyBorder="1" applyAlignment="1" applyProtection="1">
      <alignment horizontal="right" vertical="center"/>
    </xf>
    <xf numFmtId="0" fontId="22" fillId="0" borderId="44" xfId="0" applyFont="1" applyBorder="1" applyAlignment="1">
      <alignment horizontal="center"/>
    </xf>
    <xf numFmtId="0" fontId="22" fillId="0" borderId="42" xfId="0" applyFont="1" applyBorder="1" applyAlignment="1">
      <alignment horizontal="center"/>
    </xf>
    <xf numFmtId="0" fontId="22" fillId="0" borderId="45" xfId="0" applyFont="1" applyBorder="1" applyAlignment="1">
      <alignment horizontal="center"/>
    </xf>
    <xf numFmtId="9" fontId="1" fillId="0" borderId="0" xfId="2" applyFont="1" applyFill="1" applyBorder="1" applyAlignment="1" applyProtection="1">
      <alignment horizontal="right" vertical="center"/>
    </xf>
    <xf numFmtId="9" fontId="1" fillId="0" borderId="12" xfId="2" applyFont="1" applyFill="1" applyBorder="1" applyAlignment="1" applyProtection="1">
      <alignment horizontal="right" vertical="center"/>
    </xf>
    <xf numFmtId="0" fontId="1" fillId="0" borderId="39" xfId="0" applyFont="1" applyBorder="1" applyAlignment="1" applyProtection="1">
      <alignment horizontal="left"/>
    </xf>
    <xf numFmtId="0" fontId="1" fillId="0" borderId="21" xfId="0" applyFont="1" applyBorder="1" applyAlignment="1" applyProtection="1">
      <alignment horizontal="left"/>
    </xf>
    <xf numFmtId="9" fontId="1" fillId="0" borderId="29" xfId="2" applyFont="1" applyBorder="1" applyAlignment="1" applyProtection="1">
      <alignment horizontal="right"/>
    </xf>
    <xf numFmtId="9" fontId="1" fillId="0" borderId="66" xfId="2" applyFont="1" applyBorder="1" applyAlignment="1" applyProtection="1">
      <alignment horizontal="right"/>
    </xf>
    <xf numFmtId="9" fontId="1" fillId="0" borderId="0" xfId="2" applyFont="1" applyBorder="1" applyAlignment="1" applyProtection="1">
      <alignment horizontal="right"/>
    </xf>
    <xf numFmtId="9" fontId="1" fillId="0" borderId="12" xfId="2" applyFont="1" applyBorder="1" applyAlignment="1" applyProtection="1">
      <alignment horizontal="right"/>
    </xf>
    <xf numFmtId="0" fontId="0" fillId="0" borderId="0" xfId="0" applyFont="1" applyAlignment="1" applyProtection="1">
      <alignment horizontal="left" vertical="top" wrapText="1"/>
      <protection locked="0"/>
    </xf>
    <xf numFmtId="0" fontId="14" fillId="8" borderId="22" xfId="0" applyFont="1" applyFill="1" applyBorder="1" applyAlignment="1" applyProtection="1">
      <alignment horizontal="center"/>
      <protection locked="0"/>
    </xf>
    <xf numFmtId="0" fontId="0" fillId="0" borderId="22" xfId="0" applyBorder="1" applyAlignment="1">
      <alignment horizontal="center" vertical="center"/>
    </xf>
    <xf numFmtId="0" fontId="1" fillId="6" borderId="46" xfId="0" applyFont="1" applyFill="1" applyBorder="1" applyAlignment="1">
      <alignment horizontal="center" vertical="center" wrapText="1"/>
    </xf>
    <xf numFmtId="0" fontId="1" fillId="6" borderId="47" xfId="0" applyFont="1" applyFill="1" applyBorder="1" applyAlignment="1">
      <alignment horizontal="center" vertical="center" wrapText="1"/>
    </xf>
    <xf numFmtId="0" fontId="1" fillId="6" borderId="48" xfId="0" applyFont="1" applyFill="1" applyBorder="1" applyAlignment="1">
      <alignment horizontal="center" vertical="center" wrapText="1"/>
    </xf>
    <xf numFmtId="0" fontId="14" fillId="12" borderId="22" xfId="0" applyFont="1" applyFill="1" applyBorder="1" applyAlignment="1" applyProtection="1">
      <alignment horizontal="center"/>
      <protection locked="0"/>
    </xf>
    <xf numFmtId="0" fontId="14" fillId="9" borderId="22" xfId="0" applyFont="1" applyFill="1" applyBorder="1" applyAlignment="1" applyProtection="1">
      <alignment horizontal="center"/>
      <protection locked="0"/>
    </xf>
    <xf numFmtId="0" fontId="21" fillId="0" borderId="9" xfId="0" applyFont="1" applyBorder="1" applyAlignment="1">
      <alignment horizontal="center"/>
    </xf>
    <xf numFmtId="0" fontId="21" fillId="0" borderId="8" xfId="0" applyFont="1" applyBorder="1" applyAlignment="1">
      <alignment horizontal="center"/>
    </xf>
    <xf numFmtId="0" fontId="21" fillId="0" borderId="7" xfId="0" applyFont="1" applyBorder="1" applyAlignment="1">
      <alignment horizontal="center"/>
    </xf>
    <xf numFmtId="0" fontId="1" fillId="0" borderId="39" xfId="0" applyFont="1" applyBorder="1" applyAlignment="1" applyProtection="1">
      <alignment horizontal="left" vertical="top" wrapText="1"/>
    </xf>
    <xf numFmtId="0" fontId="1" fillId="0" borderId="21" xfId="0" applyFont="1" applyBorder="1" applyAlignment="1" applyProtection="1">
      <alignment horizontal="left" vertical="top" wrapText="1"/>
    </xf>
    <xf numFmtId="0" fontId="16" fillId="13" borderId="3" xfId="0" applyFont="1" applyFill="1" applyBorder="1" applyAlignment="1" applyProtection="1">
      <alignment horizontal="center" vertical="center" wrapText="1"/>
      <protection locked="0"/>
    </xf>
    <xf numFmtId="0" fontId="16" fillId="13" borderId="1" xfId="0" applyFont="1" applyFill="1" applyBorder="1" applyAlignment="1" applyProtection="1">
      <alignment horizontal="center" vertical="center" wrapText="1"/>
      <protection locked="0"/>
    </xf>
    <xf numFmtId="0" fontId="17" fillId="8" borderId="0" xfId="0" applyFont="1" applyFill="1" applyBorder="1" applyAlignment="1" applyProtection="1">
      <alignment horizontal="left" vertical="center" wrapText="1"/>
      <protection locked="0"/>
    </xf>
    <xf numFmtId="0" fontId="16" fillId="8" borderId="3" xfId="0" applyFont="1" applyFill="1" applyBorder="1" applyAlignment="1" applyProtection="1">
      <alignment horizontal="center" vertical="center" wrapText="1"/>
      <protection locked="0"/>
    </xf>
    <xf numFmtId="0" fontId="16" fillId="8" borderId="2"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6" fillId="9" borderId="3" xfId="0" applyFont="1" applyFill="1" applyBorder="1" applyAlignment="1" applyProtection="1">
      <alignment horizontal="center" vertical="center" wrapText="1"/>
      <protection locked="0"/>
    </xf>
    <xf numFmtId="0" fontId="16" fillId="9" borderId="2" xfId="0" applyFont="1" applyFill="1" applyBorder="1" applyAlignment="1" applyProtection="1">
      <alignment horizontal="center" vertical="center" wrapText="1"/>
      <protection locked="0"/>
    </xf>
    <xf numFmtId="0" fontId="16" fillId="9" borderId="1" xfId="0" applyFont="1" applyFill="1" applyBorder="1" applyAlignment="1" applyProtection="1">
      <alignment horizontal="center" vertical="center" wrapText="1"/>
      <protection locked="0"/>
    </xf>
    <xf numFmtId="0" fontId="17" fillId="13" borderId="0" xfId="0" applyFont="1" applyFill="1" applyBorder="1" applyAlignment="1" applyProtection="1">
      <alignment horizontal="left" vertical="center" wrapText="1"/>
      <protection locked="0"/>
    </xf>
    <xf numFmtId="0" fontId="16" fillId="9" borderId="3" xfId="0" applyFont="1" applyFill="1" applyBorder="1" applyAlignment="1" applyProtection="1">
      <alignment horizontal="center" vertical="center"/>
      <protection locked="0"/>
    </xf>
    <xf numFmtId="0" fontId="16" fillId="9" borderId="1" xfId="0" applyFont="1" applyFill="1" applyBorder="1" applyAlignment="1" applyProtection="1">
      <alignment horizontal="center" vertical="center"/>
      <protection locked="0"/>
    </xf>
    <xf numFmtId="0" fontId="16" fillId="8" borderId="9" xfId="0" applyFont="1" applyFill="1" applyBorder="1" applyAlignment="1" applyProtection="1">
      <alignment horizontal="center" vertical="center"/>
      <protection locked="0"/>
    </xf>
    <xf numFmtId="0" fontId="16" fillId="8" borderId="7" xfId="0" applyFont="1" applyFill="1" applyBorder="1" applyAlignment="1" applyProtection="1">
      <alignment horizontal="center" vertical="center"/>
      <protection locked="0"/>
    </xf>
    <xf numFmtId="0" fontId="16" fillId="7" borderId="3" xfId="0" applyFont="1" applyFill="1" applyBorder="1" applyAlignment="1" applyProtection="1">
      <alignment horizontal="center" vertical="center" wrapText="1"/>
      <protection locked="0"/>
    </xf>
    <xf numFmtId="0" fontId="16" fillId="7" borderId="2" xfId="0" applyFont="1" applyFill="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16" fillId="7" borderId="3" xfId="0" applyFont="1" applyFill="1" applyBorder="1" applyAlignment="1" applyProtection="1">
      <alignment horizontal="center" vertical="center"/>
      <protection locked="0"/>
    </xf>
    <xf numFmtId="0" fontId="17" fillId="9" borderId="0" xfId="0" applyFont="1" applyFill="1" applyBorder="1" applyAlignment="1" applyProtection="1">
      <alignment horizontal="left" vertical="center" wrapText="1"/>
      <protection locked="0"/>
    </xf>
    <xf numFmtId="0" fontId="17" fillId="7" borderId="0" xfId="0" applyFont="1" applyFill="1" applyBorder="1" applyAlignment="1" applyProtection="1">
      <alignment horizontal="left" vertical="center" wrapText="1"/>
      <protection locked="0"/>
    </xf>
    <xf numFmtId="0" fontId="12" fillId="6" borderId="6" xfId="0" applyFont="1" applyFill="1" applyBorder="1" applyAlignment="1" applyProtection="1">
      <alignment vertical="top" wrapText="1"/>
      <protection locked="0"/>
    </xf>
    <xf numFmtId="0" fontId="12" fillId="6" borderId="5" xfId="0" applyFont="1" applyFill="1" applyBorder="1" applyAlignment="1" applyProtection="1">
      <alignment vertical="top" wrapText="1"/>
      <protection locked="0"/>
    </xf>
    <xf numFmtId="0" fontId="12" fillId="6" borderId="4" xfId="0" applyFont="1" applyFill="1" applyBorder="1" applyAlignment="1" applyProtection="1">
      <alignment vertical="top" wrapText="1"/>
      <protection locked="0"/>
    </xf>
    <xf numFmtId="0" fontId="1" fillId="0" borderId="30" xfId="0" applyFont="1" applyBorder="1" applyAlignment="1" applyProtection="1">
      <alignment horizontal="center" vertical="center"/>
    </xf>
    <xf numFmtId="0" fontId="1" fillId="0" borderId="26" xfId="0" applyFont="1" applyBorder="1" applyAlignment="1" applyProtection="1">
      <alignment horizontal="center" vertical="center"/>
    </xf>
    <xf numFmtId="0" fontId="10" fillId="0" borderId="30" xfId="0" applyFont="1" applyBorder="1" applyAlignment="1" applyProtection="1">
      <alignment horizontal="center" vertical="center"/>
    </xf>
    <xf numFmtId="0" fontId="10" fillId="0" borderId="26" xfId="0" applyFont="1" applyBorder="1" applyAlignment="1" applyProtection="1">
      <alignment horizontal="center" vertical="center"/>
    </xf>
    <xf numFmtId="0" fontId="1" fillId="0" borderId="33" xfId="0" applyFont="1" applyBorder="1" applyAlignment="1" applyProtection="1">
      <alignment horizontal="center" vertical="center"/>
    </xf>
    <xf numFmtId="0" fontId="1" fillId="0" borderId="25" xfId="0" applyFont="1" applyBorder="1" applyAlignment="1" applyProtection="1">
      <alignment horizontal="center" vertical="center"/>
    </xf>
    <xf numFmtId="0" fontId="4" fillId="6" borderId="22" xfId="0" applyFont="1" applyFill="1" applyBorder="1" applyAlignment="1" applyProtection="1">
      <alignment horizontal="center" vertical="center" wrapText="1"/>
    </xf>
    <xf numFmtId="0" fontId="1" fillId="0" borderId="30"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 fillId="0" borderId="31" xfId="0" applyFont="1" applyBorder="1" applyAlignment="1" applyProtection="1">
      <alignment horizontal="center" vertical="center"/>
    </xf>
    <xf numFmtId="0" fontId="1" fillId="0" borderId="22" xfId="0" applyFont="1" applyBorder="1" applyAlignment="1" applyProtection="1">
      <alignment horizontal="center" vertical="center"/>
    </xf>
    <xf numFmtId="0" fontId="1" fillId="2" borderId="22" xfId="0" applyFont="1" applyFill="1" applyBorder="1" applyAlignment="1">
      <alignment horizontal="center" vertical="center"/>
    </xf>
    <xf numFmtId="0" fontId="1" fillId="3" borderId="22" xfId="0" applyFont="1" applyFill="1" applyBorder="1" applyAlignment="1">
      <alignment horizontal="center" vertical="center"/>
    </xf>
    <xf numFmtId="0" fontId="12" fillId="6" borderId="9" xfId="0" applyFont="1" applyFill="1" applyBorder="1" applyAlignment="1" applyProtection="1">
      <alignment horizontal="left" vertical="center"/>
    </xf>
    <xf numFmtId="0" fontId="12" fillId="6" borderId="8" xfId="0" applyFont="1" applyFill="1" applyBorder="1" applyAlignment="1" applyProtection="1">
      <alignment horizontal="left" vertical="center"/>
    </xf>
    <xf numFmtId="0" fontId="12" fillId="6" borderId="7"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0"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28" fillId="6" borderId="13" xfId="0" applyFont="1" applyFill="1" applyBorder="1" applyAlignment="1" applyProtection="1">
      <alignment horizontal="left" vertical="center"/>
    </xf>
    <xf numFmtId="0" fontId="28" fillId="6" borderId="0" xfId="0" applyFont="1" applyFill="1" applyBorder="1" applyAlignment="1" applyProtection="1">
      <alignment horizontal="left" vertical="center"/>
    </xf>
    <xf numFmtId="0" fontId="28" fillId="6" borderId="12" xfId="0" applyFont="1" applyFill="1" applyBorder="1" applyAlignment="1" applyProtection="1">
      <alignment horizontal="left" vertical="center"/>
    </xf>
    <xf numFmtId="0" fontId="12" fillId="6" borderId="13" xfId="0" applyFont="1" applyFill="1" applyBorder="1" applyAlignment="1" applyProtection="1">
      <alignment vertical="top" wrapText="1"/>
      <protection locked="0"/>
    </xf>
    <xf numFmtId="0" fontId="12" fillId="6" borderId="0" xfId="0" applyFont="1" applyFill="1" applyBorder="1" applyAlignment="1" applyProtection="1">
      <alignment vertical="top" wrapText="1"/>
      <protection locked="0"/>
    </xf>
    <xf numFmtId="0" fontId="12" fillId="6" borderId="12" xfId="0" applyFont="1" applyFill="1" applyBorder="1" applyAlignment="1" applyProtection="1">
      <alignment vertical="top" wrapText="1"/>
      <protection locked="0"/>
    </xf>
    <xf numFmtId="0" fontId="1" fillId="4" borderId="22" xfId="0" applyFont="1" applyFill="1" applyBorder="1" applyAlignment="1">
      <alignment horizontal="center" vertical="center"/>
    </xf>
    <xf numFmtId="0" fontId="1" fillId="0" borderId="22" xfId="0" applyFont="1" applyBorder="1" applyAlignment="1" applyProtection="1">
      <alignment horizontal="center" vertical="center" wrapText="1"/>
    </xf>
    <xf numFmtId="0" fontId="1" fillId="21" borderId="22" xfId="0" applyFont="1" applyFill="1" applyBorder="1" applyAlignment="1">
      <alignment horizontal="center" vertical="center"/>
    </xf>
    <xf numFmtId="0" fontId="1" fillId="20" borderId="22" xfId="0" applyFont="1" applyFill="1" applyBorder="1" applyAlignment="1">
      <alignment horizontal="center" vertical="center"/>
    </xf>
    <xf numFmtId="0" fontId="1" fillId="5" borderId="30" xfId="0" applyFont="1" applyFill="1" applyBorder="1" applyAlignment="1" applyProtection="1">
      <alignment horizontal="center" vertical="center"/>
      <protection locked="0"/>
    </xf>
    <xf numFmtId="0" fontId="1" fillId="5" borderId="31" xfId="0" applyFont="1" applyFill="1" applyBorder="1" applyAlignment="1" applyProtection="1">
      <alignment horizontal="center" vertical="center"/>
      <protection locked="0"/>
    </xf>
    <xf numFmtId="0" fontId="1" fillId="5" borderId="26" xfId="0" applyFont="1" applyFill="1" applyBorder="1" applyAlignment="1" applyProtection="1">
      <alignment horizontal="center" vertical="center"/>
      <protection locked="0"/>
    </xf>
    <xf numFmtId="0" fontId="16" fillId="8" borderId="2" xfId="0" applyFont="1" applyFill="1" applyBorder="1" applyAlignment="1" applyProtection="1">
      <alignment horizontal="center" vertical="center" wrapText="1"/>
      <protection locked="0"/>
    </xf>
    <xf numFmtId="0" fontId="16" fillId="8" borderId="8" xfId="0" applyFont="1" applyFill="1" applyBorder="1" applyAlignment="1" applyProtection="1">
      <alignment horizontal="center" vertical="center" wrapText="1"/>
      <protection locked="0"/>
    </xf>
    <xf numFmtId="0" fontId="16" fillId="8" borderId="7" xfId="0" applyFont="1" applyFill="1" applyBorder="1" applyAlignment="1" applyProtection="1">
      <alignment horizontal="center" vertical="center" wrapText="1"/>
      <protection locked="0"/>
    </xf>
    <xf numFmtId="0" fontId="0" fillId="0" borderId="0" xfId="0" applyBorder="1" applyAlignment="1" applyProtection="1">
      <alignment horizontal="left" vertical="top"/>
      <protection locked="0"/>
    </xf>
    <xf numFmtId="0" fontId="22" fillId="0" borderId="0" xfId="0" applyFont="1" applyBorder="1" applyAlignment="1" applyProtection="1">
      <alignment horizontal="left" vertical="top"/>
      <protection locked="0"/>
    </xf>
    <xf numFmtId="0" fontId="0" fillId="0" borderId="13" xfId="0" applyBorder="1" applyAlignment="1" applyProtection="1">
      <alignment horizontal="left" wrapText="1"/>
      <protection locked="0"/>
    </xf>
    <xf numFmtId="0" fontId="0" fillId="0" borderId="0" xfId="0" applyAlignment="1" applyProtection="1">
      <alignment horizontal="left" wrapText="1"/>
      <protection locked="0"/>
    </xf>
    <xf numFmtId="0" fontId="0" fillId="0" borderId="12" xfId="0" applyBorder="1" applyAlignment="1" applyProtection="1">
      <alignment horizontal="left" wrapText="1"/>
      <protection locked="0"/>
    </xf>
    <xf numFmtId="0" fontId="0" fillId="0" borderId="6" xfId="0" applyBorder="1" applyAlignment="1" applyProtection="1">
      <alignment horizontal="left" wrapText="1"/>
      <protection locked="0"/>
    </xf>
    <xf numFmtId="0" fontId="0" fillId="0" borderId="5"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9"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13"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2" xfId="0" applyBorder="1" applyAlignment="1" applyProtection="1">
      <alignment vertical="top" wrapText="1"/>
      <protection locked="0"/>
    </xf>
    <xf numFmtId="0" fontId="17" fillId="11" borderId="0" xfId="0" applyFont="1" applyFill="1" applyBorder="1" applyAlignment="1" applyProtection="1">
      <alignment horizontal="left" vertical="center"/>
    </xf>
    <xf numFmtId="0" fontId="1" fillId="0" borderId="30" xfId="0" applyFont="1" applyBorder="1" applyAlignment="1">
      <alignment horizontal="center" vertical="center" wrapText="1"/>
    </xf>
    <xf numFmtId="0" fontId="1" fillId="0" borderId="26" xfId="0" applyFont="1" applyBorder="1" applyAlignment="1">
      <alignment horizontal="center" vertical="center" wrapText="1"/>
    </xf>
    <xf numFmtId="0" fontId="0" fillId="6" borderId="9" xfId="0" applyFont="1" applyFill="1" applyBorder="1" applyAlignment="1" applyProtection="1">
      <alignment horizontal="left" vertical="center"/>
    </xf>
    <xf numFmtId="0" fontId="0" fillId="6" borderId="8" xfId="0" applyFont="1" applyFill="1" applyBorder="1" applyAlignment="1" applyProtection="1">
      <alignment horizontal="left" vertical="center"/>
    </xf>
    <xf numFmtId="0" fontId="0" fillId="6" borderId="7" xfId="0" applyFont="1" applyFill="1" applyBorder="1" applyAlignment="1" applyProtection="1">
      <alignment horizontal="left" vertical="center"/>
    </xf>
    <xf numFmtId="0" fontId="0" fillId="6" borderId="6"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0" fillId="6" borderId="13" xfId="0" applyFill="1" applyBorder="1" applyAlignment="1" applyProtection="1">
      <alignment horizontal="left" vertical="top" wrapText="1"/>
      <protection locked="0"/>
    </xf>
    <xf numFmtId="0" fontId="0" fillId="6" borderId="0" xfId="0" applyFill="1" applyBorder="1" applyAlignment="1" applyProtection="1">
      <alignment horizontal="left" vertical="top" wrapText="1"/>
      <protection locked="0"/>
    </xf>
    <xf numFmtId="0" fontId="0" fillId="6" borderId="12" xfId="0" applyFill="1" applyBorder="1" applyAlignment="1" applyProtection="1">
      <alignment horizontal="left" vertical="top" wrapText="1"/>
      <protection locked="0"/>
    </xf>
    <xf numFmtId="0" fontId="0" fillId="6" borderId="13" xfId="0" applyFont="1" applyFill="1" applyBorder="1" applyAlignment="1" applyProtection="1">
      <alignment horizontal="left" vertical="center"/>
    </xf>
    <xf numFmtId="0" fontId="0" fillId="6" borderId="0" xfId="0" applyFont="1" applyFill="1" applyBorder="1" applyAlignment="1" applyProtection="1">
      <alignment horizontal="left" vertical="center"/>
    </xf>
    <xf numFmtId="0" fontId="0" fillId="6" borderId="12" xfId="0" applyFont="1" applyFill="1" applyBorder="1" applyAlignment="1" applyProtection="1">
      <alignment horizontal="left" vertical="center"/>
    </xf>
    <xf numFmtId="0" fontId="1" fillId="0" borderId="31" xfId="0" applyFont="1" applyBorder="1" applyAlignment="1">
      <alignment horizontal="center" vertical="center" wrapText="1"/>
    </xf>
    <xf numFmtId="0" fontId="1" fillId="0" borderId="30"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0" fillId="0" borderId="6" xfId="0" applyBorder="1" applyAlignment="1" applyProtection="1">
      <alignment vertical="top" wrapText="1"/>
      <protection locked="0"/>
    </xf>
    <xf numFmtId="0" fontId="0" fillId="0" borderId="5"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Fill="1" applyBorder="1" applyAlignment="1" applyProtection="1">
      <alignment horizontal="left" vertical="top"/>
      <protection locked="0"/>
    </xf>
    <xf numFmtId="0" fontId="0" fillId="5" borderId="47" xfId="0" applyFont="1" applyFill="1" applyBorder="1" applyAlignment="1" applyProtection="1">
      <alignment horizontal="center" vertical="center"/>
      <protection locked="0"/>
    </xf>
    <xf numFmtId="0" fontId="0" fillId="5" borderId="46" xfId="0" applyFont="1" applyFill="1" applyBorder="1" applyAlignment="1" applyProtection="1">
      <alignment horizontal="center" vertical="center"/>
      <protection locked="0"/>
    </xf>
    <xf numFmtId="0" fontId="16" fillId="7" borderId="2" xfId="0" applyFont="1" applyFill="1" applyBorder="1" applyAlignment="1" applyProtection="1">
      <alignment horizontal="center" vertical="center" wrapText="1"/>
      <protection locked="0"/>
    </xf>
    <xf numFmtId="0" fontId="1" fillId="0" borderId="22" xfId="0" applyFont="1" applyBorder="1" applyAlignment="1">
      <alignment horizontal="center" vertical="center"/>
    </xf>
    <xf numFmtId="0" fontId="0" fillId="0" borderId="33" xfId="0" applyFill="1" applyBorder="1" applyAlignment="1">
      <alignment horizontal="center" vertical="center"/>
    </xf>
    <xf numFmtId="0" fontId="0" fillId="0" borderId="25" xfId="0" applyFill="1" applyBorder="1" applyAlignment="1">
      <alignment horizontal="center" vertical="center"/>
    </xf>
    <xf numFmtId="0" fontId="0" fillId="0" borderId="32" xfId="0" applyFill="1" applyBorder="1" applyAlignment="1">
      <alignment horizontal="center" vertical="center"/>
    </xf>
    <xf numFmtId="0" fontId="0" fillId="0" borderId="27" xfId="0" applyFill="1" applyBorder="1" applyAlignment="1">
      <alignment horizontal="center" vertical="center"/>
    </xf>
    <xf numFmtId="49" fontId="1" fillId="0" borderId="30" xfId="0" applyNumberFormat="1" applyFont="1" applyBorder="1" applyAlignment="1">
      <alignment horizontal="center" vertical="center"/>
    </xf>
    <xf numFmtId="49" fontId="1" fillId="0" borderId="31" xfId="0" applyNumberFormat="1" applyFont="1" applyBorder="1" applyAlignment="1">
      <alignment horizontal="center" vertical="center"/>
    </xf>
    <xf numFmtId="49" fontId="1" fillId="0" borderId="26" xfId="0" applyNumberFormat="1" applyFont="1" applyBorder="1" applyAlignment="1">
      <alignment horizontal="center" vertical="center"/>
    </xf>
    <xf numFmtId="49" fontId="1" fillId="0" borderId="30" xfId="0" applyNumberFormat="1" applyFont="1" applyFill="1" applyBorder="1" applyAlignment="1">
      <alignment horizontal="center" vertical="center"/>
    </xf>
    <xf numFmtId="49" fontId="1" fillId="0" borderId="31" xfId="0" applyNumberFormat="1" applyFont="1" applyFill="1" applyBorder="1" applyAlignment="1">
      <alignment horizontal="center" vertical="center"/>
    </xf>
    <xf numFmtId="0" fontId="1" fillId="0" borderId="22" xfId="0" applyFont="1" applyFill="1" applyBorder="1" applyAlignment="1">
      <alignment horizontal="center" vertical="center" wrapText="1"/>
    </xf>
    <xf numFmtId="0" fontId="1" fillId="0" borderId="30" xfId="0" applyFont="1" applyFill="1" applyBorder="1" applyAlignment="1">
      <alignment horizontal="center" vertical="center"/>
    </xf>
    <xf numFmtId="0" fontId="1" fillId="0" borderId="31" xfId="0" applyFont="1" applyFill="1" applyBorder="1" applyAlignment="1">
      <alignment horizontal="center" vertical="center"/>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6" fillId="9" borderId="2" xfId="0" applyFont="1" applyFill="1" applyBorder="1" applyAlignment="1" applyProtection="1">
      <alignment horizontal="center" vertical="center"/>
      <protection locked="0"/>
    </xf>
    <xf numFmtId="0" fontId="1" fillId="0" borderId="0" xfId="0" applyFont="1" applyAlignment="1">
      <alignment horizontal="center" vertical="center"/>
    </xf>
    <xf numFmtId="0" fontId="1" fillId="0" borderId="26" xfId="0" applyFont="1" applyBorder="1" applyAlignment="1">
      <alignment horizontal="center" vertical="center"/>
    </xf>
    <xf numFmtId="0" fontId="33" fillId="13" borderId="0" xfId="0" applyFont="1" applyFill="1" applyBorder="1" applyAlignment="1" applyProtection="1">
      <alignment horizontal="left" vertical="center" wrapText="1"/>
      <protection locked="0"/>
    </xf>
    <xf numFmtId="0" fontId="31" fillId="13" borderId="9" xfId="0" applyFont="1" applyFill="1" applyBorder="1" applyAlignment="1" applyProtection="1">
      <alignment horizontal="center" vertical="center"/>
      <protection locked="0"/>
    </xf>
    <xf numFmtId="0" fontId="31" fillId="13" borderId="8" xfId="0" applyFont="1" applyFill="1" applyBorder="1" applyAlignment="1" applyProtection="1">
      <alignment horizontal="center" vertical="center"/>
      <protection locked="0"/>
    </xf>
    <xf numFmtId="0" fontId="31" fillId="13" borderId="7" xfId="0" applyFont="1" applyFill="1" applyBorder="1" applyAlignment="1" applyProtection="1">
      <alignment horizontal="center" vertical="center"/>
      <protection locked="0"/>
    </xf>
  </cellXfs>
  <cellStyles count="4">
    <cellStyle name="Hyperlink" xfId="1" builtinId="8"/>
    <cellStyle name="Normal" xfId="0" builtinId="0"/>
    <cellStyle name="Percent" xfId="2" builtinId="5"/>
    <cellStyle name="Percent 2" xfId="3" xr:uid="{3A58EB72-5CB0-48A7-AC8B-C744E03EA4C0}"/>
  </cellStyles>
  <dxfs count="461">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numFmt numFmtId="165" formatCode="[$-409]d\-mmm\-yy;@"/>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i val="0"/>
        <strike val="0"/>
        <condense val="0"/>
        <extend val="0"/>
        <outline val="0"/>
        <shadow val="0"/>
        <u val="none"/>
        <vertAlign val="baseline"/>
        <sz val="11"/>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numFmt numFmtId="165" formatCode="[$-409]d\-mmm\-yy;@"/>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i val="0"/>
        <strike val="0"/>
        <condense val="0"/>
        <extend val="0"/>
        <outline val="0"/>
        <shadow val="0"/>
        <u val="none"/>
        <vertAlign val="baseline"/>
        <sz val="11"/>
        <color auto="1"/>
        <name val="Calibri"/>
        <family val="2"/>
        <scheme val="minor"/>
      </font>
      <numFmt numFmtId="165" formatCode="[$-409]d\-mmm\-yy;@"/>
      <fill>
        <patternFill patternType="solid">
          <fgColor indexed="64"/>
          <bgColor theme="7"/>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1"/>
        <color auto="1"/>
        <name val="Calibri"/>
        <family val="2"/>
        <scheme val="minor"/>
      </font>
      <fill>
        <patternFill patternType="solid">
          <fgColor indexed="64"/>
          <bgColor theme="7"/>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medium">
          <color indexed="64"/>
        </bottom>
      </border>
      <protection locked="0" hidden="0"/>
    </dxf>
    <dxf>
      <font>
        <b/>
        <i val="0"/>
        <strike val="0"/>
        <condense val="0"/>
        <extend val="0"/>
        <outline val="0"/>
        <shadow val="0"/>
        <u val="none"/>
        <vertAlign val="baseline"/>
        <sz val="11"/>
        <color auto="1"/>
        <name val="Calibri"/>
        <scheme val="minor"/>
      </font>
      <fill>
        <patternFill patternType="solid">
          <fgColor indexed="64"/>
          <bgColor theme="7"/>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indexed="64"/>
        </top>
      </border>
    </dxf>
    <dxf>
      <font>
        <strike val="0"/>
        <outline val="0"/>
        <shadow val="0"/>
        <u val="none"/>
        <vertAlign val="baseline"/>
        <color auto="1"/>
        <name val="Calibri"/>
        <scheme val="minor"/>
      </font>
    </dxf>
    <dxf>
      <border diagonalUp="0" diagonalDown="0">
        <left style="thin">
          <color indexed="64"/>
        </left>
        <right style="thin">
          <color indexed="64"/>
        </right>
        <top style="thin">
          <color indexed="64"/>
        </top>
        <bottom style="medium">
          <color indexed="64"/>
        </bottom>
      </border>
    </dxf>
    <dxf>
      <font>
        <strike val="0"/>
        <outline val="0"/>
        <shadow val="0"/>
        <u val="none"/>
        <vertAlign val="baseline"/>
        <color auto="1"/>
        <name val="Calibri"/>
        <scheme val="minor"/>
      </font>
    </dxf>
    <dxf>
      <border>
        <bottom style="medium">
          <color indexed="64"/>
        </bottom>
      </border>
    </dxf>
    <dxf>
      <font>
        <b val="0"/>
        <i val="0"/>
        <strike val="0"/>
        <condense val="0"/>
        <extend val="0"/>
        <outline val="0"/>
        <shadow val="0"/>
        <u val="none"/>
        <vertAlign val="baseline"/>
        <sz val="11"/>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dxf>
    <dxf>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border>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outline="0">
        <top style="thin">
          <color rgb="FF000000"/>
        </top>
      </border>
    </dxf>
    <dxf>
      <fill>
        <patternFill patternType="none">
          <fgColor rgb="FF000000"/>
          <bgColor auto="1"/>
        </patternFill>
      </fill>
    </dxf>
    <dxf>
      <border>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numFmt numFmtId="165" formatCode="[$-409]d\-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numFmt numFmtId="165" formatCode="[$-409]d\-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9" tint="-0.499984740745262"/>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medium">
          <color indexed="64"/>
        </bottom>
      </border>
      <protection locked="0" hidden="0"/>
    </dxf>
    <dxf>
      <font>
        <b/>
        <i val="0"/>
        <strike val="0"/>
        <condense val="0"/>
        <extend val="0"/>
        <outline val="0"/>
        <shadow val="0"/>
        <u val="none"/>
        <vertAlign val="baseline"/>
        <sz val="11"/>
        <color theme="0"/>
        <name val="Calibri"/>
        <scheme val="minor"/>
      </font>
      <fill>
        <patternFill patternType="solid">
          <fgColor indexed="64"/>
          <bgColor theme="9" tint="-0.499984740745262"/>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border outline="0">
        <top style="thin">
          <color rgb="FF000000"/>
        </top>
      </border>
    </dxf>
    <dxf>
      <border diagonalUp="0" diagonalDown="0">
        <left style="thin">
          <color rgb="FF000000"/>
        </left>
        <right style="thin">
          <color rgb="FF000000"/>
        </right>
        <top style="thin">
          <color rgb="FF000000"/>
        </top>
        <bottom style="medium">
          <color rgb="FF000000"/>
        </bottom>
      </border>
    </dxf>
    <dxf>
      <border>
        <bottom style="medium">
          <color rgb="FF000000"/>
        </bottom>
      </border>
    </dxf>
    <dxf>
      <font>
        <b val="0"/>
        <i val="0"/>
        <strike val="0"/>
        <condense val="0"/>
        <extend val="0"/>
        <outline val="0"/>
        <shadow val="0"/>
        <u val="none"/>
        <vertAlign val="baseline"/>
        <sz val="11"/>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border>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indexed="64"/>
        </right>
        <top style="thin">
          <color auto="1"/>
        </top>
        <bottom style="thin">
          <color auto="1"/>
        </bottom>
        <vertical/>
        <horizontal style="thin">
          <color auto="1"/>
        </horizontal>
      </border>
    </dxf>
    <dxf>
      <border outline="0">
        <top style="thin">
          <color indexed="64"/>
        </top>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medium">
          <color indexed="64"/>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1"/>
        <color theme="0"/>
        <name val="Calibri"/>
        <family val="2"/>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medium">
          <color indexed="64"/>
        </left>
        <right/>
        <top/>
        <bottom style="medium">
          <color indexed="64"/>
        </bottom>
      </border>
      <protection locked="0" hidden="0"/>
    </dxf>
    <dxf>
      <font>
        <b/>
        <i val="0"/>
        <strike val="0"/>
        <condense val="0"/>
        <extend val="0"/>
        <outline val="0"/>
        <shadow val="0"/>
        <u val="none"/>
        <vertAlign val="baseline"/>
        <sz val="11"/>
        <color theme="0"/>
        <name val="Calibri"/>
        <scheme val="minor"/>
      </font>
      <fill>
        <patternFill patternType="solid">
          <fgColor indexed="64"/>
          <bgColor theme="4" tint="-0.499984740745262"/>
        </patternFill>
      </fill>
      <alignment horizontal="center" vertical="center" textRotation="0" wrapText="0" indent="0" justifyLastLine="0" shrinkToFit="0" readingOrder="0"/>
      <border outline="0">
        <right style="thin">
          <color indexed="64"/>
        </right>
      </border>
      <protection locked="0" hidden="0"/>
    </dxf>
    <dxf>
      <font>
        <strike val="0"/>
        <outline val="0"/>
        <shadow val="0"/>
        <u val="none"/>
        <vertAlign val="baseline"/>
        <sz val="11"/>
        <name val="Calibri"/>
        <scheme val="minor"/>
      </font>
    </dxf>
    <dxf>
      <border>
        <bottom style="medium">
          <color indexed="64"/>
        </bottom>
      </border>
    </dxf>
    <dxf>
      <font>
        <strike val="0"/>
        <outline val="0"/>
        <shadow val="0"/>
        <u val="none"/>
        <vertAlign val="baseline"/>
        <sz val="11"/>
        <color auto="1"/>
        <name val="Calibri"/>
        <scheme val="minor"/>
      </font>
      <fill>
        <patternFill patternType="solid">
          <fgColor indexed="64"/>
          <bgColor theme="0" tint="-4.9989318521683403E-2"/>
        </patternFill>
      </fill>
      <alignment horizontal="center" vertical="center" textRotation="0" wrapText="1" indent="0" justifyLastLine="0" shrinkToFit="0" readingOrder="0"/>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bottom/>
      </border>
    </dxf>
    <dxf>
      <fill>
        <patternFill patternType="none">
          <fgColor indexed="64"/>
          <bgColor auto="1"/>
        </patternFill>
      </fill>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style="thin">
          <color indexed="64"/>
        </top>
        <bottom/>
      </border>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outline="0">
        <top style="thin">
          <color indexed="64"/>
        </top>
      </border>
    </dxf>
    <dxf>
      <fill>
        <patternFill patternType="none">
          <fgColor indexed="64"/>
          <bgColor auto="1"/>
        </patternFill>
      </fill>
    </dxf>
    <dxf>
      <border>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style="medium">
          <color indexed="64"/>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medium">
          <color indexed="64"/>
        </right>
        <top/>
        <bottom/>
      </border>
      <protection locked="0" hidden="0"/>
    </dxf>
    <dxf>
      <font>
        <b val="0"/>
        <i val="0"/>
        <strike val="0"/>
        <condense val="0"/>
        <extend val="0"/>
        <outline val="0"/>
        <shadow val="0"/>
        <u val="none"/>
        <vertAlign val="baseline"/>
        <sz val="10"/>
        <color auto="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numFmt numFmtId="165" formatCode="[$-409]d\-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indexed="64"/>
        </right>
        <top/>
        <bottom/>
      </border>
      <protection locked="0" hidden="0"/>
    </dxf>
    <dxf>
      <font>
        <b/>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ont>
        <b/>
        <i val="0"/>
        <strike val="0"/>
        <condense val="0"/>
        <extend val="0"/>
        <outline val="0"/>
        <shadow val="0"/>
        <u val="none"/>
        <vertAlign val="baseline"/>
        <sz val="11"/>
        <color theme="0"/>
        <name val="Calibri"/>
        <family val="2"/>
        <scheme val="minor"/>
      </font>
      <fill>
        <patternFill patternType="solid">
          <fgColor indexed="64"/>
          <bgColor rgb="FFC00000"/>
        </patternFill>
      </fill>
      <alignment horizontal="center" vertical="center" textRotation="0" wrapText="1" indent="0" justifyLastLine="0" shrinkToFit="0" readingOrder="0"/>
      <border diagonalUp="0" diagonalDown="0" outline="0">
        <left style="medium">
          <color indexed="64"/>
        </left>
        <right style="medium">
          <color indexed="64"/>
        </right>
        <top/>
        <bottom/>
      </border>
      <protection locked="0" hidden="0"/>
    </dxf>
    <dxf>
      <font>
        <b/>
        <i val="0"/>
        <strike val="0"/>
        <condense val="0"/>
        <extend val="0"/>
        <outline val="0"/>
        <shadow val="0"/>
        <u val="none"/>
        <vertAlign val="baseline"/>
        <sz val="11"/>
        <color theme="0"/>
        <name val="Calibri"/>
        <scheme val="minor"/>
      </font>
      <fill>
        <patternFill patternType="solid">
          <fgColor indexed="64"/>
          <bgColor rgb="FFC00000"/>
        </patternFill>
      </fill>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indexed="65"/>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protection locked="1" hidden="0"/>
    </dxf>
    <dxf>
      <fill>
        <patternFill patternType="none">
          <fgColor indexed="64"/>
          <bgColor indexed="65"/>
        </patternFill>
      </fill>
      <border diagonalUp="0" diagonalDown="0" outline="0">
        <left style="thin">
          <color auto="1"/>
        </left>
        <right style="thin">
          <color indexed="64"/>
        </right>
        <top/>
        <bottom/>
      </border>
    </dxf>
    <dxf>
      <fill>
        <patternFill patternType="none">
          <fgColor indexed="64"/>
          <bgColor auto="1"/>
        </patternFill>
      </fill>
      <protection locked="1" hidden="0"/>
    </dxf>
    <dxf>
      <fill>
        <patternFill patternType="none">
          <fgColor indexed="64"/>
          <bgColor indexed="65"/>
        </patternFill>
      </fill>
      <border diagonalUp="0" diagonalDown="0" outline="0">
        <left style="thin">
          <color auto="1"/>
        </left>
        <right style="thin">
          <color indexed="64"/>
        </right>
        <top/>
        <bottom/>
      </border>
    </dxf>
    <dxf>
      <numFmt numFmtId="0" formatCode="General"/>
      <fill>
        <patternFill patternType="none">
          <fgColor indexed="64"/>
          <bgColor auto="1"/>
        </patternFill>
      </fill>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0"/>
    </dxf>
    <dxf>
      <fill>
        <patternFill patternType="none">
          <fgColor indexed="64"/>
          <bgColor indexed="65"/>
        </patternFill>
      </fill>
      <alignment horizontal="right" vertical="bottom" textRotation="0" wrapText="0" indent="0" justifyLastLine="0" shrinkToFit="0" readingOrder="0"/>
      <border diagonalUp="0" diagonalDown="0" outline="0">
        <left/>
        <right style="thin">
          <color indexed="64"/>
        </right>
        <top/>
        <bottom/>
      </border>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indexed="65"/>
        </patternFill>
      </fill>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fill>
        <patternFill patternType="none">
          <fgColor indexed="64"/>
          <bgColor indexed="65"/>
        </patternFill>
      </fill>
      <border diagonalUp="0" diagonalDown="0" outline="0">
        <left/>
        <right/>
        <top/>
        <bottom style="thin">
          <color indexed="64"/>
        </bottom>
      </border>
      <protection locked="1" hidden="0"/>
    </dxf>
    <dxf>
      <fill>
        <patternFill patternType="none">
          <fgColor indexed="64"/>
          <bgColor auto="1"/>
        </patternFill>
      </fill>
      <border diagonalUp="0" diagonalDown="0">
        <left style="thin">
          <color auto="1"/>
        </left>
        <right style="thin">
          <color auto="1"/>
        </right>
        <top/>
        <bottom/>
        <vertical style="thin">
          <color auto="1"/>
        </vertical>
        <horizontal/>
      </border>
      <protection locked="1" hidden="0"/>
    </dxf>
    <dxf>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protection locked="1" hidden="0"/>
    </dxf>
    <dxf>
      <numFmt numFmtId="1"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bottom/>
        <vertical style="thin">
          <color auto="1"/>
        </vertical>
        <horizontal/>
      </border>
      <protection locked="1" hidden="0"/>
    </dxf>
    <dxf>
      <border outline="0">
        <top style="thin">
          <color indexed="64"/>
        </top>
      </border>
    </dxf>
    <dxf>
      <fill>
        <patternFill patternType="none">
          <fgColor indexed="64"/>
          <bgColor auto="1"/>
        </patternFill>
      </fill>
      <protection locked="1" hidden="0"/>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auto="1"/>
        </patternFill>
      </fill>
      <alignment horizontal="center" vertical="center" textRotation="0" wrapText="1" indent="0" justifyLastLine="0" shrinkToFit="0" readingOrder="0"/>
      <border diagonalUp="0" diagonalDown="0" outline="0">
        <left style="medium">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1" indent="0" justifyLastLine="0" shrinkToFit="0" readingOrder="0"/>
      <border diagonalUp="0" diagonalDown="0">
        <left style="medium">
          <color indexed="64"/>
        </left>
        <right style="medium">
          <color indexed="64"/>
        </right>
        <top style="thin">
          <color indexed="64"/>
        </top>
        <bottom/>
        <vertical/>
        <horizontal/>
      </border>
    </dxf>
    <dxf>
      <border outline="0">
        <right style="medium">
          <color indexed="64"/>
        </right>
        <bottom style="medium">
          <color indexed="64"/>
        </bottom>
      </border>
    </dxf>
    <dxf>
      <font>
        <color theme="0" tint="-0.14996795556505021"/>
      </font>
    </dxf>
    <dxf>
      <fill>
        <patternFill>
          <bgColor rgb="FF92D050"/>
        </patternFill>
      </fill>
    </dxf>
    <dxf>
      <fill>
        <patternFill>
          <bgColor rgb="FFFF9900"/>
        </patternFill>
      </fill>
    </dxf>
    <dxf>
      <fill>
        <patternFill>
          <bgColor rgb="FF92D050"/>
        </patternFill>
      </fill>
    </dxf>
    <dxf>
      <fill>
        <patternFill>
          <bgColor rgb="FF92D050"/>
        </patternFill>
      </fill>
    </dxf>
    <dxf>
      <fill>
        <patternFill>
          <bgColor rgb="FFFF9900"/>
        </patternFill>
      </fill>
    </dxf>
    <dxf>
      <fill>
        <patternFill>
          <bgColor rgb="FF92D050"/>
        </patternFill>
      </fill>
    </dxf>
    <dxf>
      <fill>
        <patternFill>
          <bgColor rgb="FF92D050"/>
        </patternFill>
      </fill>
    </dxf>
    <dxf>
      <fill>
        <patternFill>
          <bgColor rgb="FFFF9900"/>
        </patternFill>
      </fill>
    </dxf>
    <dxf>
      <fill>
        <patternFill>
          <bgColor rgb="FF92D050"/>
        </patternFill>
      </fill>
    </dxf>
    <dxf>
      <fill>
        <patternFill>
          <bgColor rgb="FF92D050"/>
        </patternFill>
      </fill>
    </dxf>
    <dxf>
      <fill>
        <patternFill>
          <bgColor rgb="FFFF9900"/>
        </patternFill>
      </fill>
    </dxf>
    <dxf>
      <fill>
        <patternFill>
          <bgColor rgb="FF92D050"/>
        </patternFill>
      </fill>
    </dxf>
    <dxf>
      <font>
        <b/>
      </font>
      <numFmt numFmtId="166"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font>
      <numFmt numFmtId="166" formatCode="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0"/>
        <name val="Calibri"/>
        <family val="2"/>
        <scheme val="minor"/>
      </font>
      <fill>
        <patternFill patternType="solid">
          <fgColor indexed="64"/>
          <bgColor theme="2" tint="-0.499984740745262"/>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outline="0">
        <right style="thin">
          <color indexed="64"/>
        </right>
        <top style="thin">
          <color indexed="64"/>
        </top>
        <bottom style="thin">
          <color indexed="64"/>
        </bottom>
      </border>
    </dxf>
    <dxf>
      <fill>
        <patternFill patternType="none">
          <fgColor indexed="64"/>
          <bgColor indexed="65"/>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2" tint="-0.49998474074526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9"/>
        </patternFill>
      </fill>
    </dxf>
    <dxf>
      <fill>
        <patternFill>
          <bgColor theme="4"/>
        </patternFill>
      </fill>
    </dxf>
    <dxf>
      <fill>
        <patternFill>
          <bgColor theme="8"/>
        </patternFill>
      </fill>
    </dxf>
    <dxf>
      <fill>
        <patternFill>
          <bgColor theme="5"/>
        </patternFill>
      </fill>
    </dxf>
    <dxf>
      <fill>
        <patternFill>
          <bgColor theme="7"/>
        </patternFill>
      </fill>
    </dxf>
    <dxf>
      <fill>
        <patternFill>
          <bgColor theme="9"/>
        </patternFill>
      </fill>
    </dxf>
    <dxf>
      <fill>
        <patternFill>
          <bgColor theme="4"/>
        </patternFill>
      </fill>
    </dxf>
    <dxf>
      <fill>
        <patternFill>
          <bgColor theme="8"/>
        </patternFill>
      </fill>
    </dxf>
    <dxf>
      <fill>
        <patternFill>
          <bgColor theme="5"/>
        </patternFill>
      </fill>
    </dxf>
    <dxf>
      <fill>
        <patternFill>
          <bgColor theme="7"/>
        </patternFill>
      </fill>
    </dxf>
    <dxf>
      <fill>
        <patternFill>
          <bgColor rgb="FFC00000"/>
        </patternFill>
      </fill>
    </dxf>
    <dxf>
      <fill>
        <patternFill>
          <bgColor rgb="FFDDDDDD"/>
        </patternFill>
      </fill>
    </dxf>
  </dxfs>
  <tableStyles count="1" defaultTableStyle="TableStyleMedium2" defaultPivotStyle="PivotStyleLight16">
    <tableStyle name="Table Style 1" pivot="0" count="2" xr9:uid="{00000000-0011-0000-FFFF-FFFF00000000}">
      <tableStyleElement type="wholeTable" dxfId="460"/>
      <tableStyleElement type="secondRowStripe" dxfId="459"/>
    </tableStyle>
  </tableStyles>
  <colors>
    <mruColors>
      <color rgb="FFCC99FF"/>
      <color rgb="FFF08888"/>
      <color rgb="FFFFAFB8"/>
      <color rgb="FFF36767"/>
      <color rgb="FFFF9900"/>
      <color rgb="FFCC0099"/>
      <color rgb="FFFF66CC"/>
      <color rgb="FFFFCCFF"/>
      <color rgb="FFFF99CC"/>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Count by </a:t>
            </a:r>
            <a:r>
              <a:rPr lang="en-US" baseline="0"/>
              <a:t>Entry Point</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5">
                <a:lumMod val="50000"/>
              </a:schemeClr>
            </a:solidFill>
            <a:ln w="3175">
              <a:solidFill>
                <a:schemeClr val="bg1"/>
              </a:solidFill>
            </a:ln>
            <a:effectLst/>
          </c:spPr>
          <c:invertIfNegative val="0"/>
          <c:dPt>
            <c:idx val="1"/>
            <c:invertIfNegative val="0"/>
            <c:bubble3D val="0"/>
            <c:spPr>
              <a:solidFill>
                <a:schemeClr val="accent5">
                  <a:lumMod val="75000"/>
                </a:schemeClr>
              </a:solidFill>
              <a:ln w="3175">
                <a:solidFill>
                  <a:schemeClr val="bg1"/>
                </a:solidFill>
              </a:ln>
              <a:effectLst/>
            </c:spPr>
            <c:extLst>
              <c:ext xmlns:c16="http://schemas.microsoft.com/office/drawing/2014/chart" uri="{C3380CC4-5D6E-409C-BE32-E72D297353CC}">
                <c16:uniqueId val="{00000016-8160-405B-A01F-53E8BF21FE3B}"/>
              </c:ext>
            </c:extLst>
          </c:dPt>
          <c:dPt>
            <c:idx val="2"/>
            <c:invertIfNegative val="0"/>
            <c:bubble3D val="0"/>
            <c:spPr>
              <a:solidFill>
                <a:schemeClr val="accent5"/>
              </a:solidFill>
              <a:ln w="3175">
                <a:solidFill>
                  <a:schemeClr val="bg1"/>
                </a:solidFill>
              </a:ln>
              <a:effectLst/>
            </c:spPr>
            <c:extLst>
              <c:ext xmlns:c16="http://schemas.microsoft.com/office/drawing/2014/chart" uri="{C3380CC4-5D6E-409C-BE32-E72D297353CC}">
                <c16:uniqueId val="{00000017-8160-405B-A01F-53E8BF21FE3B}"/>
              </c:ext>
            </c:extLst>
          </c:dPt>
          <c:dPt>
            <c:idx val="3"/>
            <c:invertIfNegative val="0"/>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18-8160-405B-A01F-53E8BF21FE3B}"/>
              </c:ext>
            </c:extLst>
          </c:dPt>
          <c:dPt>
            <c:idx val="4"/>
            <c:invertIfNegative val="0"/>
            <c:bubble3D val="0"/>
            <c:spPr>
              <a:solidFill>
                <a:schemeClr val="accent5">
                  <a:lumMod val="40000"/>
                  <a:lumOff val="60000"/>
                </a:schemeClr>
              </a:solidFill>
              <a:ln w="3175">
                <a:solidFill>
                  <a:schemeClr val="bg1"/>
                </a:solidFill>
              </a:ln>
              <a:effectLst/>
            </c:spPr>
            <c:extLst>
              <c:ext xmlns:c16="http://schemas.microsoft.com/office/drawing/2014/chart" uri="{C3380CC4-5D6E-409C-BE32-E72D297353CC}">
                <c16:uniqueId val="{00000019-8160-405B-A01F-53E8BF21FE3B}"/>
              </c:ext>
            </c:extLst>
          </c:dPt>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'3.1 CASCADE ANALYSIS'!$AB$5:$AF$5</c:f>
            </c:multiLvlStrRef>
          </c:cat>
          <c:val>
            <c:numRef>
              <c:f>'3.1 CASCADE ANALYSIS'!$AB$6:$AF$6</c:f>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0-8160-405B-A01F-53E8BF21FE3B}"/>
            </c:ext>
          </c:extLst>
        </c:ser>
        <c:dLbls>
          <c:showLegendKey val="0"/>
          <c:showVal val="0"/>
          <c:showCatName val="0"/>
          <c:showSerName val="0"/>
          <c:showPercent val="0"/>
          <c:showBubbleSize val="0"/>
        </c:dLbls>
        <c:gapWidth val="50"/>
        <c:axId val="863007200"/>
        <c:axId val="939804688"/>
        <c:extLst/>
      </c:barChart>
      <c:catAx>
        <c:axId val="86300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39804688"/>
        <c:crosses val="autoZero"/>
        <c:auto val="1"/>
        <c:lblAlgn val="ctr"/>
        <c:lblOffset val="100"/>
        <c:noMultiLvlLbl val="0"/>
      </c:catAx>
      <c:valAx>
        <c:axId val="939804688"/>
        <c:scaling>
          <c:orientation val="minMax"/>
        </c:scaling>
        <c:delete val="1"/>
        <c:axPos val="l"/>
        <c:numFmt formatCode="General" sourceLinked="1"/>
        <c:majorTickMark val="none"/>
        <c:minorTickMark val="none"/>
        <c:tickLblPos val="nextTo"/>
        <c:crossAx val="86300720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Additional Metrics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ANALYSIS'!$Z$13:$Z$14</c:f>
              <c:numCache>
                <c:formatCode>General</c:formatCode>
                <c:ptCount val="2"/>
              </c:numCache>
            </c:numRef>
          </c:val>
          <c:extLst>
            <c:ext xmlns:c16="http://schemas.microsoft.com/office/drawing/2014/chart" uri="{C3380CC4-5D6E-409C-BE32-E72D297353CC}">
              <c16:uniqueId val="{00000008-D1E3-41E7-9EE6-9A8B57716437}"/>
            </c:ext>
          </c:extLst>
        </c:ser>
        <c:ser>
          <c:idx val="1"/>
          <c:order val="1"/>
          <c:spPr>
            <a:solidFill>
              <a:schemeClr val="accent2"/>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ANALYSIS'!$AA$13:$AA$14</c:f>
              <c:numCache>
                <c:formatCode>General</c:formatCode>
                <c:ptCount val="2"/>
              </c:numCache>
            </c:numRef>
          </c:val>
          <c:extLst>
            <c:ext xmlns:c16="http://schemas.microsoft.com/office/drawing/2014/chart" uri="{C3380CC4-5D6E-409C-BE32-E72D297353CC}">
              <c16:uniqueId val="{0000000F-D1E3-41E7-9EE6-9A8B57716437}"/>
            </c:ext>
          </c:extLst>
        </c:ser>
        <c:ser>
          <c:idx val="2"/>
          <c:order val="2"/>
          <c:spPr>
            <a:solidFill>
              <a:schemeClr val="accent3"/>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ANALYSIS'!$AW$5</c:f>
              <c:numCache>
                <c:formatCode>General</c:formatCode>
                <c:ptCount val="1"/>
                <c:pt idx="0">
                  <c:v>0</c:v>
                </c:pt>
              </c:numCache>
            </c:numRef>
          </c:val>
          <c:extLst>
            <c:ext xmlns:c16="http://schemas.microsoft.com/office/drawing/2014/chart" uri="{C3380CC4-5D6E-409C-BE32-E72D297353CC}">
              <c16:uniqueId val="{00000010-D1E3-41E7-9EE6-9A8B57716437}"/>
            </c:ext>
          </c:extLst>
        </c:ser>
        <c:ser>
          <c:idx val="3"/>
          <c:order val="3"/>
          <c:spPr>
            <a:solidFill>
              <a:schemeClr val="accent4"/>
            </a:solidFill>
            <a:ln>
              <a:noFill/>
            </a:ln>
            <a:effectLst/>
          </c:spPr>
          <c:invertIfNegative val="0"/>
          <c:cat>
            <c:strRef>
              <c:f>'3.1 CASCADE ANALYSIS'!$Y$13:$Y$14</c:f>
              <c:strCache>
                <c:ptCount val="2"/>
                <c:pt idx="0">
                  <c:v>Specimens collected + unable to produce (attempted)</c:v>
                </c:pt>
                <c:pt idx="1">
                  <c:v>Started treatment or transferred</c:v>
                </c:pt>
              </c:strCache>
            </c:strRef>
          </c:cat>
          <c:val>
            <c:numRef>
              <c:f>'3.1 CASCADE ANALYSIS'!$AX$5</c:f>
              <c:numCache>
                <c:formatCode>General</c:formatCode>
                <c:ptCount val="1"/>
                <c:pt idx="0">
                  <c:v>0</c:v>
                </c:pt>
              </c:numCache>
            </c:numRef>
          </c:val>
          <c:extLst>
            <c:ext xmlns:c16="http://schemas.microsoft.com/office/drawing/2014/chart" uri="{C3380CC4-5D6E-409C-BE32-E72D297353CC}">
              <c16:uniqueId val="{00000011-D1E3-41E7-9EE6-9A8B57716437}"/>
            </c:ext>
          </c:extLst>
        </c:ser>
        <c:ser>
          <c:idx val="4"/>
          <c:order val="4"/>
          <c:spPr>
            <a:solidFill>
              <a:schemeClr val="accent5"/>
            </a:solidFill>
            <a:ln w="25400">
              <a:solidFill>
                <a:schemeClr val="accent1">
                  <a:lumMod val="75000"/>
                </a:schemeClr>
              </a:solidFill>
            </a:ln>
            <a:effectLst/>
          </c:spPr>
          <c:invertIfNegative val="0"/>
          <c:dPt>
            <c:idx val="0"/>
            <c:invertIfNegative val="0"/>
            <c:bubble3D val="0"/>
            <c:spPr>
              <a:solidFill>
                <a:schemeClr val="accent1">
                  <a:lumMod val="75000"/>
                </a:schemeClr>
              </a:solidFill>
              <a:ln w="25400">
                <a:solidFill>
                  <a:schemeClr val="accent1">
                    <a:lumMod val="75000"/>
                  </a:schemeClr>
                </a:solidFill>
              </a:ln>
              <a:effectLst/>
            </c:spPr>
            <c:extLst>
              <c:ext xmlns:c16="http://schemas.microsoft.com/office/drawing/2014/chart" uri="{C3380CC4-5D6E-409C-BE32-E72D297353CC}">
                <c16:uniqueId val="{00000014-D1E3-41E7-9EE6-9A8B57716437}"/>
              </c:ext>
            </c:extLst>
          </c:dPt>
          <c:dPt>
            <c:idx val="1"/>
            <c:invertIfNegative val="0"/>
            <c:bubble3D val="0"/>
            <c:spPr>
              <a:solidFill>
                <a:srgbClr val="7030A0"/>
              </a:solidFill>
              <a:ln w="25400">
                <a:solidFill>
                  <a:srgbClr val="7030A0"/>
                </a:solidFill>
              </a:ln>
              <a:effectLst/>
            </c:spPr>
            <c:extLst>
              <c:ext xmlns:c16="http://schemas.microsoft.com/office/drawing/2014/chart" uri="{C3380CC4-5D6E-409C-BE32-E72D297353CC}">
                <c16:uniqueId val="{00000015-D1E3-41E7-9EE6-9A8B5771643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ANALYSIS'!$Y$13:$Y$14</c:f>
              <c:strCache>
                <c:ptCount val="2"/>
                <c:pt idx="0">
                  <c:v>Specimens collected + unable to produce (attempted)</c:v>
                </c:pt>
                <c:pt idx="1">
                  <c:v>Started treatment or transferred</c:v>
                </c:pt>
              </c:strCache>
            </c:strRef>
          </c:cat>
          <c:val>
            <c:numRef>
              <c:f>'3.1 CASCADE ANALYSIS'!$AW$13:$AW$14</c:f>
              <c:numCache>
                <c:formatCode>0%</c:formatCode>
                <c:ptCount val="2"/>
                <c:pt idx="0">
                  <c:v>0</c:v>
                </c:pt>
                <c:pt idx="1">
                  <c:v>0</c:v>
                </c:pt>
              </c:numCache>
            </c:numRef>
          </c:val>
          <c:extLst>
            <c:ext xmlns:c16="http://schemas.microsoft.com/office/drawing/2014/chart" uri="{C3380CC4-5D6E-409C-BE32-E72D297353CC}">
              <c16:uniqueId val="{00000012-D1E3-41E7-9EE6-9A8B57716437}"/>
            </c:ext>
          </c:extLst>
        </c:ser>
        <c:ser>
          <c:idx val="5"/>
          <c:order val="5"/>
          <c:spPr>
            <a:noFill/>
            <a:ln w="25400">
              <a:solidFill>
                <a:schemeClr val="accent1">
                  <a:lumMod val="75000"/>
                </a:schemeClr>
              </a:solidFill>
            </a:ln>
            <a:effectLst/>
          </c:spPr>
          <c:invertIfNegative val="0"/>
          <c:dPt>
            <c:idx val="1"/>
            <c:invertIfNegative val="0"/>
            <c:bubble3D val="0"/>
            <c:spPr>
              <a:noFill/>
              <a:ln w="25400">
                <a:solidFill>
                  <a:srgbClr val="7030A0"/>
                </a:solidFill>
              </a:ln>
              <a:effectLst/>
            </c:spPr>
            <c:extLst>
              <c:ext xmlns:c16="http://schemas.microsoft.com/office/drawing/2014/chart" uri="{C3380CC4-5D6E-409C-BE32-E72D297353CC}">
                <c16:uniqueId val="{00000016-D1E3-41E7-9EE6-9A8B57716437}"/>
              </c:ext>
            </c:extLst>
          </c:dPt>
          <c:cat>
            <c:strRef>
              <c:f>'3.1 CASCADE ANALYSIS'!$Y$13:$Y$14</c:f>
              <c:strCache>
                <c:ptCount val="2"/>
                <c:pt idx="0">
                  <c:v>Specimens collected + unable to produce (attempted)</c:v>
                </c:pt>
                <c:pt idx="1">
                  <c:v>Started treatment or transferred</c:v>
                </c:pt>
              </c:strCache>
            </c:strRef>
          </c:cat>
          <c:val>
            <c:numRef>
              <c:f>'3.1 CASCADE ANALYSIS'!$AX$13:$AX$14</c:f>
              <c:numCache>
                <c:formatCode>0%</c:formatCode>
                <c:ptCount val="2"/>
                <c:pt idx="0">
                  <c:v>0</c:v>
                </c:pt>
                <c:pt idx="1">
                  <c:v>0</c:v>
                </c:pt>
              </c:numCache>
            </c:numRef>
          </c:val>
          <c:extLst>
            <c:ext xmlns:c16="http://schemas.microsoft.com/office/drawing/2014/chart" uri="{C3380CC4-5D6E-409C-BE32-E72D297353CC}">
              <c16:uniqueId val="{00000013-D1E3-41E7-9EE6-9A8B57716437}"/>
            </c:ext>
          </c:extLst>
        </c:ser>
        <c:dLbls>
          <c:showLegendKey val="0"/>
          <c:showVal val="0"/>
          <c:showCatName val="0"/>
          <c:showSerName val="0"/>
          <c:showPercent val="0"/>
          <c:showBubbleSize val="0"/>
        </c:dLbls>
        <c:gapWidth val="75"/>
        <c:overlap val="100"/>
        <c:axId val="2093613663"/>
        <c:axId val="15597631"/>
      </c:barChart>
      <c:catAx>
        <c:axId val="209361366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597631"/>
        <c:crosses val="autoZero"/>
        <c:auto val="1"/>
        <c:lblAlgn val="ctr"/>
        <c:lblOffset val="100"/>
        <c:noMultiLvlLbl val="0"/>
      </c:catAx>
      <c:valAx>
        <c:axId val="15597631"/>
        <c:scaling>
          <c:orientation val="minMax"/>
        </c:scaling>
        <c:delete val="1"/>
        <c:axPos val="t"/>
        <c:numFmt formatCode="General" sourceLinked="1"/>
        <c:majorTickMark val="none"/>
        <c:minorTickMark val="none"/>
        <c:tickLblPos val="nextTo"/>
        <c:crossAx val="2093613663"/>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a:solidFill>
                  <a:schemeClr val="bg1"/>
                </a:solidFill>
              </a:rPr>
              <a:t>Clinic/Lab</a:t>
            </a:r>
            <a:r>
              <a:rPr lang="en-US" baseline="0">
                <a:solidFill>
                  <a:schemeClr val="bg1"/>
                </a:solidFill>
              </a:rPr>
              <a:t> Agreement</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barChart>
        <c:barDir val="bar"/>
        <c:grouping val="clustered"/>
        <c:varyColors val="0"/>
        <c:ser>
          <c:idx val="0"/>
          <c:order val="0"/>
          <c:tx>
            <c:strRef>
              <c:f>'3.1 CASCADE ANALYSIS'!$W$9</c:f>
              <c:strCache>
                <c:ptCount val="1"/>
                <c:pt idx="0">
                  <c:v>Lab</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ANALYSIS'!$AO$5:$AQ$5</c:f>
              <c:strCache>
                <c:ptCount val="3"/>
                <c:pt idx="0">
                  <c:v>mWRD Negative</c:v>
                </c:pt>
                <c:pt idx="1">
                  <c:v>Smear Negative</c:v>
                </c:pt>
                <c:pt idx="2">
                  <c:v>LAM Negative</c:v>
                </c:pt>
              </c:strCache>
            </c:strRef>
          </c:cat>
          <c:val>
            <c:numRef>
              <c:f>'3.1 CASCADE ANALYSIS'!$AO$9:$AQ$9</c:f>
              <c:numCache>
                <c:formatCode>General</c:formatCode>
                <c:ptCount val="3"/>
                <c:pt idx="0">
                  <c:v>0</c:v>
                </c:pt>
                <c:pt idx="1">
                  <c:v>0</c:v>
                </c:pt>
                <c:pt idx="2">
                  <c:v>0</c:v>
                </c:pt>
              </c:numCache>
            </c:numRef>
          </c:val>
          <c:extLst>
            <c:ext xmlns:c16="http://schemas.microsoft.com/office/drawing/2014/chart" uri="{C3380CC4-5D6E-409C-BE32-E72D297353CC}">
              <c16:uniqueId val="{00000000-4F53-4080-86BB-45CE81D3B28D}"/>
            </c:ext>
          </c:extLst>
        </c:ser>
        <c:ser>
          <c:idx val="1"/>
          <c:order val="1"/>
          <c:tx>
            <c:strRef>
              <c:f>'3.1 CASCADE ANALYSIS'!$W$10</c:f>
              <c:strCache>
                <c:ptCount val="1"/>
                <c:pt idx="0">
                  <c:v>Clinic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ANALYSIS'!$AO$5:$AQ$5</c:f>
              <c:strCache>
                <c:ptCount val="3"/>
                <c:pt idx="0">
                  <c:v>mWRD Negative</c:v>
                </c:pt>
                <c:pt idx="1">
                  <c:v>Smear Negative</c:v>
                </c:pt>
                <c:pt idx="2">
                  <c:v>LAM Negative</c:v>
                </c:pt>
              </c:strCache>
            </c:strRef>
          </c:cat>
          <c:val>
            <c:numRef>
              <c:f>'3.1 CASCADE ANALYSIS'!$AO$10:$AQ$10</c:f>
              <c:numCache>
                <c:formatCode>General</c:formatCode>
                <c:ptCount val="3"/>
                <c:pt idx="0">
                  <c:v>0</c:v>
                </c:pt>
                <c:pt idx="1">
                  <c:v>0</c:v>
                </c:pt>
                <c:pt idx="2">
                  <c:v>0</c:v>
                </c:pt>
              </c:numCache>
            </c:numRef>
          </c:val>
          <c:extLst>
            <c:ext xmlns:c16="http://schemas.microsoft.com/office/drawing/2014/chart" uri="{C3380CC4-5D6E-409C-BE32-E72D297353CC}">
              <c16:uniqueId val="{00000001-4F53-4080-86BB-45CE81D3B28D}"/>
            </c:ext>
          </c:extLst>
        </c:ser>
        <c:dLbls>
          <c:showLegendKey val="0"/>
          <c:showVal val="0"/>
          <c:showCatName val="0"/>
          <c:showSerName val="0"/>
          <c:showPercent val="0"/>
          <c:showBubbleSize val="0"/>
        </c:dLbls>
        <c:gapWidth val="30"/>
        <c:axId val="2093565871"/>
        <c:axId val="1028324303"/>
      </c:barChart>
      <c:catAx>
        <c:axId val="20935658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28324303"/>
        <c:crosses val="autoZero"/>
        <c:auto val="1"/>
        <c:lblAlgn val="ctr"/>
        <c:lblOffset val="100"/>
        <c:noMultiLvlLbl val="0"/>
      </c:catAx>
      <c:valAx>
        <c:axId val="1028324303"/>
        <c:scaling>
          <c:orientation val="minMax"/>
        </c:scaling>
        <c:delete val="1"/>
        <c:axPos val="t"/>
        <c:numFmt formatCode="General" sourceLinked="1"/>
        <c:majorTickMark val="none"/>
        <c:minorTickMark val="none"/>
        <c:tickLblPos val="nextTo"/>
        <c:crossAx val="2093565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Clinic/Lab</a:t>
            </a:r>
            <a:r>
              <a:rPr lang="en-US" baseline="0"/>
              <a:t> Agreement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'3.1 CASCADE ANALYSIS'!$W$9</c:f>
              <c:strCache>
                <c:ptCount val="1"/>
                <c:pt idx="0">
                  <c:v>Lab</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ANALYSIS'!$AL$5:$AN$5</c:f>
              <c:strCache>
                <c:ptCount val="3"/>
                <c:pt idx="0">
                  <c:v>mWRD Positive </c:v>
                </c:pt>
                <c:pt idx="1">
                  <c:v>Smear Positive</c:v>
                </c:pt>
                <c:pt idx="2">
                  <c:v>LAM Positive</c:v>
                </c:pt>
              </c:strCache>
            </c:strRef>
          </c:cat>
          <c:val>
            <c:numRef>
              <c:f>'3.1 CASCADE ANALYSIS'!$AL$9:$AN$9</c:f>
              <c:numCache>
                <c:formatCode>General</c:formatCode>
                <c:ptCount val="3"/>
                <c:pt idx="0">
                  <c:v>0</c:v>
                </c:pt>
                <c:pt idx="1">
                  <c:v>0</c:v>
                </c:pt>
                <c:pt idx="2">
                  <c:v>0</c:v>
                </c:pt>
              </c:numCache>
            </c:numRef>
          </c:val>
          <c:extLst>
            <c:ext xmlns:c16="http://schemas.microsoft.com/office/drawing/2014/chart" uri="{C3380CC4-5D6E-409C-BE32-E72D297353CC}">
              <c16:uniqueId val="{00000000-2F32-4064-BA9A-6B4BB410F484}"/>
            </c:ext>
          </c:extLst>
        </c:ser>
        <c:ser>
          <c:idx val="1"/>
          <c:order val="1"/>
          <c:tx>
            <c:strRef>
              <c:f>'3.1 CASCADE ANALYSIS'!$W$10</c:f>
              <c:strCache>
                <c:ptCount val="1"/>
                <c:pt idx="0">
                  <c:v>Clinic</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ANALYSIS'!$AL$5:$AN$5</c:f>
              <c:strCache>
                <c:ptCount val="3"/>
                <c:pt idx="0">
                  <c:v>mWRD Positive </c:v>
                </c:pt>
                <c:pt idx="1">
                  <c:v>Smear Positive</c:v>
                </c:pt>
                <c:pt idx="2">
                  <c:v>LAM Positive</c:v>
                </c:pt>
              </c:strCache>
            </c:strRef>
          </c:cat>
          <c:val>
            <c:numRef>
              <c:f>'3.1 CASCADE ANALYSIS'!$AL$10:$AN$10</c:f>
              <c:numCache>
                <c:formatCode>General</c:formatCode>
                <c:ptCount val="3"/>
                <c:pt idx="0">
                  <c:v>0</c:v>
                </c:pt>
                <c:pt idx="1">
                  <c:v>0</c:v>
                </c:pt>
                <c:pt idx="2">
                  <c:v>0</c:v>
                </c:pt>
              </c:numCache>
            </c:numRef>
          </c:val>
          <c:extLst>
            <c:ext xmlns:c16="http://schemas.microsoft.com/office/drawing/2014/chart" uri="{C3380CC4-5D6E-409C-BE32-E72D297353CC}">
              <c16:uniqueId val="{00000001-2F32-4064-BA9A-6B4BB410F484}"/>
            </c:ext>
          </c:extLst>
        </c:ser>
        <c:dLbls>
          <c:dLblPos val="outEnd"/>
          <c:showLegendKey val="0"/>
          <c:showVal val="1"/>
          <c:showCatName val="0"/>
          <c:showSerName val="0"/>
          <c:showPercent val="0"/>
          <c:showBubbleSize val="0"/>
        </c:dLbls>
        <c:gapWidth val="30"/>
        <c:axId val="2093565871"/>
        <c:axId val="1028324303"/>
      </c:barChart>
      <c:catAx>
        <c:axId val="20935658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028324303"/>
        <c:crosses val="autoZero"/>
        <c:auto val="1"/>
        <c:lblAlgn val="ctr"/>
        <c:lblOffset val="100"/>
        <c:noMultiLvlLbl val="0"/>
      </c:catAx>
      <c:valAx>
        <c:axId val="1028324303"/>
        <c:scaling>
          <c:orientation val="minMax"/>
        </c:scaling>
        <c:delete val="1"/>
        <c:axPos val="t"/>
        <c:numFmt formatCode="General" sourceLinked="1"/>
        <c:majorTickMark val="none"/>
        <c:minorTickMark val="none"/>
        <c:tickLblPos val="nextTo"/>
        <c:crossAx val="2093565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 Time in Days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ANALYSIS'!$O$7</c:f>
              <c:strCache>
                <c:ptCount val="1"/>
                <c:pt idx="0">
                  <c:v>Specimen Transfer</c:v>
                </c:pt>
              </c:strCache>
            </c:strRef>
          </c:tx>
          <c:spPr>
            <a:ln w="3175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1-A845-444F-A1A0-57A15AE715B8}"/>
              </c:ext>
            </c:extLst>
          </c:dPt>
          <c:dPt>
            <c:idx val="2"/>
            <c:marker>
              <c:symbol val="none"/>
            </c:marker>
            <c:bubble3D val="0"/>
            <c:extLst>
              <c:ext xmlns:c16="http://schemas.microsoft.com/office/drawing/2014/chart" uri="{C3380CC4-5D6E-409C-BE32-E72D297353CC}">
                <c16:uniqueId val="{00000000-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1-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0-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ANALYSIS'!$O$30:$O$32</c:f>
              <c:numCache>
                <c:formatCode>0.0</c:formatCode>
                <c:ptCount val="3"/>
                <c:pt idx="0">
                  <c:v>0</c:v>
                </c:pt>
                <c:pt idx="1">
                  <c:v>0</c:v>
                </c:pt>
                <c:pt idx="2">
                  <c:v>0</c:v>
                </c:pt>
              </c:numCache>
            </c:numRef>
          </c:xVal>
          <c:yVal>
            <c:numRef>
              <c:f>'3.2 TAT ANALYSIS'!$O$33:$O$35</c:f>
              <c:numCache>
                <c:formatCode>General</c:formatCode>
                <c:ptCount val="3"/>
                <c:pt idx="0">
                  <c:v>2.5</c:v>
                </c:pt>
                <c:pt idx="1">
                  <c:v>2.5</c:v>
                </c:pt>
                <c:pt idx="2">
                  <c:v>2.5</c:v>
                </c:pt>
              </c:numCache>
            </c:numRef>
          </c:yVal>
          <c:smooth val="0"/>
          <c:extLst>
            <c:ext xmlns:c16="http://schemas.microsoft.com/office/drawing/2014/chart" uri="{C3380CC4-5D6E-409C-BE32-E72D297353CC}">
              <c16:uniqueId val="{00000001-6082-4D99-B7CA-F0388D78097D}"/>
            </c:ext>
          </c:extLst>
        </c:ser>
        <c:ser>
          <c:idx val="1"/>
          <c:order val="1"/>
          <c:tx>
            <c:strRef>
              <c:f>'3.2 TAT ANALYSIS'!$P$7</c:f>
              <c:strCache>
                <c:ptCount val="1"/>
                <c:pt idx="0">
                  <c:v>Lab Turnaround</c:v>
                </c:pt>
              </c:strCache>
            </c:strRef>
          </c:tx>
          <c:spPr>
            <a:ln w="3175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3-A845-444F-A1A0-57A15AE715B8}"/>
              </c:ext>
            </c:extLst>
          </c:dPt>
          <c:dPt>
            <c:idx val="2"/>
            <c:marker>
              <c:symbol val="none"/>
            </c:marker>
            <c:bubble3D val="0"/>
            <c:extLst>
              <c:ext xmlns:c16="http://schemas.microsoft.com/office/drawing/2014/chart" uri="{C3380CC4-5D6E-409C-BE32-E72D297353CC}">
                <c16:uniqueId val="{00000002-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3-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2-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ANALYSIS'!$P$30:$P$32</c:f>
              <c:numCache>
                <c:formatCode>0.0</c:formatCode>
                <c:ptCount val="3"/>
                <c:pt idx="0">
                  <c:v>0</c:v>
                </c:pt>
                <c:pt idx="1">
                  <c:v>0</c:v>
                </c:pt>
                <c:pt idx="2">
                  <c:v>0</c:v>
                </c:pt>
              </c:numCache>
            </c:numRef>
          </c:xVal>
          <c:yVal>
            <c:numRef>
              <c:f>'3.2 TAT ANALYSIS'!$P$33:$P$35</c:f>
              <c:numCache>
                <c:formatCode>0.0</c:formatCode>
                <c:ptCount val="3"/>
                <c:pt idx="0">
                  <c:v>2</c:v>
                </c:pt>
                <c:pt idx="1">
                  <c:v>2</c:v>
                </c:pt>
                <c:pt idx="2">
                  <c:v>2</c:v>
                </c:pt>
              </c:numCache>
            </c:numRef>
          </c:yVal>
          <c:smooth val="0"/>
          <c:extLst>
            <c:ext xmlns:c16="http://schemas.microsoft.com/office/drawing/2014/chart" uri="{C3380CC4-5D6E-409C-BE32-E72D297353CC}">
              <c16:uniqueId val="{00000002-6082-4D99-B7CA-F0388D78097D}"/>
            </c:ext>
          </c:extLst>
        </c:ser>
        <c:ser>
          <c:idx val="2"/>
          <c:order val="2"/>
          <c:tx>
            <c:strRef>
              <c:f>'3.2 TAT ANALYSIS'!$Q$7</c:f>
              <c:strCache>
                <c:ptCount val="1"/>
                <c:pt idx="0">
                  <c:v>Diagnosis</c:v>
                </c:pt>
              </c:strCache>
            </c:strRef>
          </c:tx>
          <c:spPr>
            <a:ln w="3175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5-A845-444F-A1A0-57A15AE715B8}"/>
              </c:ext>
            </c:extLst>
          </c:dPt>
          <c:dPt>
            <c:idx val="2"/>
            <c:marker>
              <c:symbol val="none"/>
            </c:marker>
            <c:bubble3D val="0"/>
            <c:extLst>
              <c:ext xmlns:c16="http://schemas.microsoft.com/office/drawing/2014/chart" uri="{C3380CC4-5D6E-409C-BE32-E72D297353CC}">
                <c16:uniqueId val="{00000004-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5-A845-444F-A1A0-57A15AE715B8}"/>
                </c:ext>
              </c:extLst>
            </c:dLbl>
            <c:dLbl>
              <c:idx val="2"/>
              <c:tx>
                <c:rich>
                  <a:bodyPr/>
                  <a:lstStyle/>
                  <a:p>
                    <a:r>
                      <a:rPr lang="en-US"/>
                      <a:t>           </a:t>
                    </a:r>
                  </a:p>
                </c:rich>
              </c:tx>
              <c:dLblPos val="t"/>
              <c:showLegendKey val="0"/>
              <c:showVal val="0"/>
              <c:showCatName val="1"/>
              <c:showSerName val="1"/>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4-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ANALYSIS'!$Q$30:$Q$32</c:f>
              <c:numCache>
                <c:formatCode>0.0</c:formatCode>
                <c:ptCount val="3"/>
                <c:pt idx="0">
                  <c:v>0</c:v>
                </c:pt>
                <c:pt idx="1">
                  <c:v>0</c:v>
                </c:pt>
                <c:pt idx="2">
                  <c:v>0</c:v>
                </c:pt>
              </c:numCache>
            </c:numRef>
          </c:xVal>
          <c:yVal>
            <c:numRef>
              <c:f>'3.2 TAT ANALYSIS'!$Q$33:$Q$35</c:f>
              <c:numCache>
                <c:formatCode>General</c:formatCode>
                <c:ptCount val="3"/>
                <c:pt idx="0">
                  <c:v>1.5</c:v>
                </c:pt>
                <c:pt idx="1">
                  <c:v>1.5</c:v>
                </c:pt>
                <c:pt idx="2">
                  <c:v>1.5</c:v>
                </c:pt>
              </c:numCache>
            </c:numRef>
          </c:yVal>
          <c:smooth val="0"/>
          <c:extLst>
            <c:ext xmlns:c16="http://schemas.microsoft.com/office/drawing/2014/chart" uri="{C3380CC4-5D6E-409C-BE32-E72D297353CC}">
              <c16:uniqueId val="{00000003-6082-4D99-B7CA-F0388D78097D}"/>
            </c:ext>
          </c:extLst>
        </c:ser>
        <c:ser>
          <c:idx val="3"/>
          <c:order val="3"/>
          <c:tx>
            <c:strRef>
              <c:f>'3.2 TAT ANALYSIS'!$R$7</c:f>
              <c:strCache>
                <c:ptCount val="1"/>
                <c:pt idx="0">
                  <c:v>Treatment Initiation</c:v>
                </c:pt>
              </c:strCache>
            </c:strRef>
          </c:tx>
          <c:spPr>
            <a:ln w="3175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7-A845-444F-A1A0-57A15AE715B8}"/>
              </c:ext>
            </c:extLst>
          </c:dPt>
          <c:dPt>
            <c:idx val="2"/>
            <c:marker>
              <c:symbol val="none"/>
            </c:marker>
            <c:bubble3D val="0"/>
            <c:extLst>
              <c:ext xmlns:c16="http://schemas.microsoft.com/office/drawing/2014/chart" uri="{C3380CC4-5D6E-409C-BE32-E72D297353CC}">
                <c16:uniqueId val="{00000006-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7-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6-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ANALYSIS'!$R$30:$R$32</c:f>
              <c:numCache>
                <c:formatCode>0.0</c:formatCode>
                <c:ptCount val="3"/>
                <c:pt idx="0">
                  <c:v>0</c:v>
                </c:pt>
                <c:pt idx="1">
                  <c:v>0</c:v>
                </c:pt>
                <c:pt idx="2">
                  <c:v>0</c:v>
                </c:pt>
              </c:numCache>
            </c:numRef>
          </c:xVal>
          <c:yVal>
            <c:numRef>
              <c:f>'3.2 TAT ANALYSIS'!$R$33:$R$35</c:f>
              <c:numCache>
                <c:formatCode>0.0</c:formatCode>
                <c:ptCount val="3"/>
                <c:pt idx="0">
                  <c:v>1</c:v>
                </c:pt>
                <c:pt idx="1">
                  <c:v>1</c:v>
                </c:pt>
                <c:pt idx="2">
                  <c:v>1</c:v>
                </c:pt>
              </c:numCache>
            </c:numRef>
          </c:yVal>
          <c:smooth val="0"/>
          <c:extLst>
            <c:ext xmlns:c16="http://schemas.microsoft.com/office/drawing/2014/chart" uri="{C3380CC4-5D6E-409C-BE32-E72D297353CC}">
              <c16:uniqueId val="{00000004-6082-4D99-B7CA-F0388D78097D}"/>
            </c:ext>
          </c:extLst>
        </c:ser>
        <c:ser>
          <c:idx val="4"/>
          <c:order val="4"/>
          <c:tx>
            <c:strRef>
              <c:f>'3.2 TAT ANALYSIS'!$S$7</c:f>
              <c:strCache>
                <c:ptCount val="1"/>
                <c:pt idx="0">
                  <c:v>TPT Initiation</c:v>
                </c:pt>
              </c:strCache>
            </c:strRef>
          </c:tx>
          <c:spPr>
            <a:ln w="317500" cap="flat">
              <a:solidFill>
                <a:schemeClr val="bg2"/>
              </a:solidFill>
              <a:round/>
            </a:ln>
            <a:effectLst/>
          </c:spPr>
          <c:marker>
            <c:symbol val="circle"/>
            <c:size val="25"/>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9-A845-444F-A1A0-57A15AE715B8}"/>
              </c:ext>
            </c:extLst>
          </c:dPt>
          <c:dPt>
            <c:idx val="2"/>
            <c:marker>
              <c:symbol val="none"/>
            </c:marker>
            <c:bubble3D val="0"/>
            <c:extLst>
              <c:ext xmlns:c16="http://schemas.microsoft.com/office/drawing/2014/chart" uri="{C3380CC4-5D6E-409C-BE32-E72D297353CC}">
                <c16:uniqueId val="{00000008-A845-444F-A1A0-57A15AE715B8}"/>
              </c:ext>
            </c:extLst>
          </c:dPt>
          <c:dLbls>
            <c:dLbl>
              <c:idx val="0"/>
              <c:delete val="1"/>
              <c:extLst>
                <c:ext xmlns:c15="http://schemas.microsoft.com/office/drawing/2012/chart" uri="{CE6537A1-D6FC-4f65-9D91-7224C49458BB}"/>
                <c:ext xmlns:c16="http://schemas.microsoft.com/office/drawing/2014/chart" uri="{C3380CC4-5D6E-409C-BE32-E72D297353CC}">
                  <c16:uniqueId val="{00000009-A845-444F-A1A0-57A15AE715B8}"/>
                </c:ext>
              </c:extLst>
            </c:dLbl>
            <c:dLbl>
              <c:idx val="2"/>
              <c:delete val="1"/>
              <c:extLst>
                <c:ext xmlns:c15="http://schemas.microsoft.com/office/drawing/2012/chart" uri="{CE6537A1-D6FC-4f65-9D91-7224C49458BB}"/>
                <c:ext xmlns:c16="http://schemas.microsoft.com/office/drawing/2014/chart" uri="{C3380CC4-5D6E-409C-BE32-E72D297353CC}">
                  <c16:uniqueId val="{00000008-A845-444F-A1A0-57A15AE715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ANALYSIS'!$S$30:$S$32</c:f>
              <c:numCache>
                <c:formatCode>0.0</c:formatCode>
                <c:ptCount val="3"/>
                <c:pt idx="0">
                  <c:v>0</c:v>
                </c:pt>
                <c:pt idx="1">
                  <c:v>0</c:v>
                </c:pt>
                <c:pt idx="2">
                  <c:v>0</c:v>
                </c:pt>
              </c:numCache>
            </c:numRef>
          </c:xVal>
          <c:yVal>
            <c:numRef>
              <c:f>'3.2 TAT ANALYSIS'!$S$33:$S$35</c:f>
              <c:numCache>
                <c:formatCode>0.0</c:formatCode>
                <c:ptCount val="3"/>
                <c:pt idx="0">
                  <c:v>0.5</c:v>
                </c:pt>
                <c:pt idx="1">
                  <c:v>0.5</c:v>
                </c:pt>
                <c:pt idx="2">
                  <c:v>0.5</c:v>
                </c:pt>
              </c:numCache>
            </c:numRef>
          </c:yVal>
          <c:smooth val="0"/>
          <c:extLst>
            <c:ext xmlns:c16="http://schemas.microsoft.com/office/drawing/2014/chart" uri="{C3380CC4-5D6E-409C-BE32-E72D297353CC}">
              <c16:uniqueId val="{00000005-6082-4D99-B7CA-F0388D78097D}"/>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scaling>
        <c:delete val="1"/>
        <c:axPos val="l"/>
        <c:numFmt formatCode="General" sourceLinked="1"/>
        <c:majorTickMark val="none"/>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 Time in Days:</a:t>
            </a:r>
            <a:r>
              <a:rPr lang="en-US" sz="1600" baseline="0"/>
              <a:t> Specimen Transfer</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ANALYSIS'!$O$38</c:f>
              <c:strCache>
                <c:ptCount val="1"/>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1-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0F-0829-46DB-921D-278B90929850}"/>
              </c:ext>
            </c:extLst>
          </c:dPt>
          <c:dPt>
            <c:idx val="2"/>
            <c:marker>
              <c:symbol val="none"/>
            </c:marker>
            <c:bubble3D val="0"/>
            <c:extLst>
              <c:ext xmlns:c16="http://schemas.microsoft.com/office/drawing/2014/chart" uri="{C3380CC4-5D6E-409C-BE32-E72D297353CC}">
                <c16:uniqueId val="{00000000-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1-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0-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'3.2 TAT ANALYSIS'!$O$61:$O$63</c:f>
              <c:strCache>
                <c:ptCount val="3"/>
                <c:pt idx="0">
                  <c:v>0.0</c:v>
                </c:pt>
                <c:pt idx="1">
                  <c:v>NA</c:v>
                </c:pt>
                <c:pt idx="2">
                  <c:v>0.0</c:v>
                </c:pt>
              </c:strCache>
            </c:strRef>
          </c:xVal>
          <c:yVal>
            <c:numRef>
              <c:f>'3.2 TAT ANALYSIS'!$O$64:$O$66</c:f>
              <c:numCache>
                <c:formatCode>0.0</c:formatCode>
                <c:ptCount val="3"/>
                <c:pt idx="0">
                  <c:v>-1</c:v>
                </c:pt>
                <c:pt idx="1">
                  <c:v>-1</c:v>
                </c:pt>
                <c:pt idx="2">
                  <c:v>-1</c:v>
                </c:pt>
              </c:numCache>
            </c:numRef>
          </c:yVal>
          <c:smooth val="0"/>
          <c:extLst>
            <c:ext xmlns:c16="http://schemas.microsoft.com/office/drawing/2014/chart" uri="{C3380CC4-5D6E-409C-BE32-E72D297353CC}">
              <c16:uniqueId val="{00000002-67E3-4327-A9A1-71DE9532B408}"/>
            </c:ext>
          </c:extLst>
        </c:ser>
        <c:ser>
          <c:idx val="1"/>
          <c:order val="1"/>
          <c:tx>
            <c:strRef>
              <c:f>'3.2 TAT ANALYSIS'!$P$38</c:f>
              <c:strCache>
                <c:ptCount val="1"/>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3-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04-0829-46DB-921D-278B90929850}"/>
              </c:ext>
            </c:extLst>
          </c:dPt>
          <c:dPt>
            <c:idx val="2"/>
            <c:marker>
              <c:symbol val="none"/>
            </c:marker>
            <c:bubble3D val="0"/>
            <c:extLst>
              <c:ext xmlns:c16="http://schemas.microsoft.com/office/drawing/2014/chart" uri="{C3380CC4-5D6E-409C-BE32-E72D297353CC}">
                <c16:uniqueId val="{00000002-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3-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2-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ANALYSIS'!$P$61:$P$63</c:f>
              <c:numCache>
                <c:formatCode>0.0</c:formatCode>
                <c:ptCount val="3"/>
                <c:pt idx="0">
                  <c:v>0</c:v>
                </c:pt>
                <c:pt idx="1">
                  <c:v>0</c:v>
                </c:pt>
                <c:pt idx="2">
                  <c:v>0</c:v>
                </c:pt>
              </c:numCache>
            </c:numRef>
          </c:xVal>
          <c:yVal>
            <c:numRef>
              <c:f>'3.2 TAT ANALYSIS'!$P$64:$P$66</c:f>
              <c:numCache>
                <c:formatCode>0.0</c:formatCode>
                <c:ptCount val="3"/>
                <c:pt idx="0">
                  <c:v>-1</c:v>
                </c:pt>
                <c:pt idx="1">
                  <c:v>-1</c:v>
                </c:pt>
                <c:pt idx="2">
                  <c:v>-1</c:v>
                </c:pt>
              </c:numCache>
            </c:numRef>
          </c:yVal>
          <c:smooth val="0"/>
          <c:extLst>
            <c:ext xmlns:c16="http://schemas.microsoft.com/office/drawing/2014/chart" uri="{C3380CC4-5D6E-409C-BE32-E72D297353CC}">
              <c16:uniqueId val="{00000006-67E3-4327-A9A1-71DE9532B408}"/>
            </c:ext>
          </c:extLst>
        </c:ser>
        <c:ser>
          <c:idx val="2"/>
          <c:order val="2"/>
          <c:tx>
            <c:strRef>
              <c:f>'3.2 TAT ANALYSIS'!$Q$38</c:f>
              <c:strCache>
                <c:ptCount val="1"/>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6-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10-0829-46DB-921D-278B90929850}"/>
              </c:ext>
            </c:extLst>
          </c:dPt>
          <c:dPt>
            <c:idx val="2"/>
            <c:marker>
              <c:symbol val="none"/>
            </c:marker>
            <c:bubble3D val="0"/>
            <c:extLst>
              <c:ext xmlns:c16="http://schemas.microsoft.com/office/drawing/2014/chart" uri="{C3380CC4-5D6E-409C-BE32-E72D297353CC}">
                <c16:uniqueId val="{00000005-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6-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5-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ANALYSIS'!$Q$61:$Q$63</c:f>
              <c:numCache>
                <c:formatCode>0.0</c:formatCode>
                <c:ptCount val="3"/>
                <c:pt idx="0">
                  <c:v>0</c:v>
                </c:pt>
                <c:pt idx="1">
                  <c:v>0</c:v>
                </c:pt>
                <c:pt idx="2">
                  <c:v>0</c:v>
                </c:pt>
              </c:numCache>
            </c:numRef>
          </c:xVal>
          <c:yVal>
            <c:numRef>
              <c:f>'3.2 TAT ANALYSIS'!$Q$64:$Q$66</c:f>
              <c:numCache>
                <c:formatCode>0.0</c:formatCode>
                <c:ptCount val="3"/>
                <c:pt idx="0">
                  <c:v>-1</c:v>
                </c:pt>
                <c:pt idx="1">
                  <c:v>-1</c:v>
                </c:pt>
                <c:pt idx="2">
                  <c:v>-1</c:v>
                </c:pt>
              </c:numCache>
            </c:numRef>
          </c:yVal>
          <c:smooth val="0"/>
          <c:extLst>
            <c:ext xmlns:c16="http://schemas.microsoft.com/office/drawing/2014/chart" uri="{C3380CC4-5D6E-409C-BE32-E72D297353CC}">
              <c16:uniqueId val="{0000000A-67E3-4327-A9A1-71DE9532B408}"/>
            </c:ext>
          </c:extLst>
        </c:ser>
        <c:ser>
          <c:idx val="4"/>
          <c:order val="3"/>
          <c:tx>
            <c:strRef>
              <c:f>'3.2 TAT ANALYSIS'!$R$38</c:f>
              <c:strCache>
                <c:ptCount val="1"/>
              </c:strCache>
            </c:strRef>
          </c:tx>
          <c:spPr>
            <a:ln w="254000" cap="flat">
              <a:solidFill>
                <a:schemeClr val="bg2"/>
              </a:solidFill>
              <a:round/>
            </a:ln>
            <a:effectLst/>
          </c:spPr>
          <c:marker>
            <c:symbol val="circle"/>
            <c:size val="5"/>
            <c:spPr>
              <a:solidFill>
                <a:schemeClr val="accent5"/>
              </a:solidFill>
              <a:ln w="9525">
                <a:solidFill>
                  <a:schemeClr val="accent5"/>
                </a:solidFill>
              </a:ln>
              <a:effectLst/>
            </c:spPr>
          </c:marker>
          <c:dPt>
            <c:idx val="0"/>
            <c:marker>
              <c:symbol val="none"/>
            </c:marker>
            <c:bubble3D val="0"/>
            <c:extLst>
              <c:ext xmlns:c16="http://schemas.microsoft.com/office/drawing/2014/chart" uri="{C3380CC4-5D6E-409C-BE32-E72D297353CC}">
                <c16:uniqueId val="{00000009-15A3-4BFF-B760-B1474BA0F0CC}"/>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0B-0829-46DB-921D-278B90929850}"/>
              </c:ext>
            </c:extLst>
          </c:dPt>
          <c:dPt>
            <c:idx val="2"/>
            <c:marker>
              <c:symbol val="none"/>
            </c:marker>
            <c:bubble3D val="0"/>
            <c:extLst>
              <c:ext xmlns:c16="http://schemas.microsoft.com/office/drawing/2014/chart" uri="{C3380CC4-5D6E-409C-BE32-E72D297353CC}">
                <c16:uniqueId val="{0000000B-15A3-4BFF-B760-B1474BA0F0CC}"/>
              </c:ext>
            </c:extLst>
          </c:dPt>
          <c:dLbls>
            <c:dLbl>
              <c:idx val="0"/>
              <c:delete val="1"/>
              <c:extLst>
                <c:ext xmlns:c15="http://schemas.microsoft.com/office/drawing/2012/chart" uri="{CE6537A1-D6FC-4f65-9D91-7224C49458BB}"/>
                <c:ext xmlns:c16="http://schemas.microsoft.com/office/drawing/2014/chart" uri="{C3380CC4-5D6E-409C-BE32-E72D297353CC}">
                  <c16:uniqueId val="{00000009-15A3-4BFF-B760-B1474BA0F0CC}"/>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B-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B-15A3-4BFF-B760-B1474BA0F0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ANALYSIS'!$R$61:$R$63</c:f>
              <c:numCache>
                <c:formatCode>0.0</c:formatCode>
                <c:ptCount val="3"/>
                <c:pt idx="0">
                  <c:v>0</c:v>
                </c:pt>
                <c:pt idx="1">
                  <c:v>0</c:v>
                </c:pt>
                <c:pt idx="2">
                  <c:v>0</c:v>
                </c:pt>
              </c:numCache>
            </c:numRef>
          </c:xVal>
          <c:yVal>
            <c:numRef>
              <c:f>'3.2 TAT ANALYSIS'!$R$64:$R$66</c:f>
              <c:numCache>
                <c:formatCode>0.0</c:formatCode>
                <c:ptCount val="3"/>
                <c:pt idx="0">
                  <c:v>-1</c:v>
                </c:pt>
                <c:pt idx="1">
                  <c:v>-1</c:v>
                </c:pt>
                <c:pt idx="2">
                  <c:v>-1</c:v>
                </c:pt>
              </c:numCache>
            </c:numRef>
          </c:yVal>
          <c:smooth val="0"/>
          <c:extLst>
            <c:ext xmlns:c16="http://schemas.microsoft.com/office/drawing/2014/chart" uri="{C3380CC4-5D6E-409C-BE32-E72D297353CC}">
              <c16:uniqueId val="{00000009-0829-46DB-921D-278B90929850}"/>
            </c:ext>
          </c:extLst>
        </c:ser>
        <c:ser>
          <c:idx val="5"/>
          <c:order val="4"/>
          <c:tx>
            <c:strRef>
              <c:f>'3.2 TAT ANALYSIS'!$S$38</c:f>
              <c:strCache>
                <c:ptCount val="1"/>
              </c:strCache>
            </c:strRef>
          </c:tx>
          <c:spPr>
            <a:ln w="254000" cap="flat">
              <a:solidFill>
                <a:schemeClr val="bg2"/>
              </a:solidFill>
              <a:round/>
            </a:ln>
            <a:effectLst/>
          </c:spPr>
          <c:marker>
            <c:symbol val="circle"/>
            <c:size val="20"/>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D-0829-46DB-921D-278B90929850}"/>
              </c:ext>
            </c:extLst>
          </c:dPt>
          <c:dPt>
            <c:idx val="2"/>
            <c:marker>
              <c:symbol val="none"/>
            </c:marker>
            <c:bubble3D val="0"/>
            <c:extLst>
              <c:ext xmlns:c16="http://schemas.microsoft.com/office/drawing/2014/chart" uri="{C3380CC4-5D6E-409C-BE32-E72D297353CC}">
                <c16:uniqueId val="{0000000C-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D-0829-46DB-921D-278B90929850}"/>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E-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C-0829-46DB-921D-278B909298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ANALYSIS'!$S$61:$S$63</c:f>
              <c:numCache>
                <c:formatCode>0.0</c:formatCode>
                <c:ptCount val="3"/>
                <c:pt idx="0">
                  <c:v>0</c:v>
                </c:pt>
                <c:pt idx="1">
                  <c:v>0</c:v>
                </c:pt>
                <c:pt idx="2">
                  <c:v>0</c:v>
                </c:pt>
              </c:numCache>
            </c:numRef>
          </c:xVal>
          <c:yVal>
            <c:numRef>
              <c:f>'3.2 TAT ANALYSIS'!$S$64:$S$66</c:f>
              <c:numCache>
                <c:formatCode>0.0</c:formatCode>
                <c:ptCount val="3"/>
                <c:pt idx="0">
                  <c:v>-1</c:v>
                </c:pt>
                <c:pt idx="1">
                  <c:v>-1</c:v>
                </c:pt>
                <c:pt idx="2">
                  <c:v>-1</c:v>
                </c:pt>
              </c:numCache>
            </c:numRef>
          </c:yVal>
          <c:smooth val="0"/>
          <c:extLst>
            <c:ext xmlns:c16="http://schemas.microsoft.com/office/drawing/2014/chart" uri="{C3380CC4-5D6E-409C-BE32-E72D297353CC}">
              <c16:uniqueId val="{0000000A-0829-46DB-921D-278B90929850}"/>
            </c:ext>
          </c:extLst>
        </c:ser>
        <c:ser>
          <c:idx val="3"/>
          <c:order val="5"/>
          <c:tx>
            <c:strRef>
              <c:f>'3.2 TAT ANALYSIS'!$T$38</c:f>
              <c:strCache>
                <c:ptCount val="1"/>
                <c:pt idx="0">
                  <c:v>Overall</c:v>
                </c:pt>
              </c:strCache>
            </c:strRef>
          </c:tx>
          <c:spPr>
            <a:ln w="254000" cap="flat">
              <a:solidFill>
                <a:schemeClr val="bg2"/>
              </a:solidFill>
              <a:round/>
            </a:ln>
            <a:effectLst/>
          </c:spPr>
          <c:marker>
            <c:symbol val="circle"/>
            <c:size val="25"/>
            <c:spPr>
              <a:solidFill>
                <a:schemeClr val="accent2"/>
              </a:solidFill>
              <a:ln w="9525">
                <a:noFill/>
              </a:ln>
              <a:effectLst/>
            </c:spPr>
          </c:marker>
          <c:dPt>
            <c:idx val="0"/>
            <c:marker>
              <c:symbol val="none"/>
            </c:marker>
            <c:bubble3D val="0"/>
            <c:extLst>
              <c:ext xmlns:c16="http://schemas.microsoft.com/office/drawing/2014/chart" uri="{C3380CC4-5D6E-409C-BE32-E72D297353CC}">
                <c16:uniqueId val="{00000008-0829-46DB-921D-278B90929850}"/>
              </c:ext>
            </c:extLst>
          </c:dPt>
          <c:dPt>
            <c:idx val="1"/>
            <c:marker>
              <c:symbol val="circle"/>
              <c:size val="20"/>
              <c:spPr>
                <a:solidFill>
                  <a:schemeClr val="accent2"/>
                </a:solidFill>
                <a:ln w="9525">
                  <a:noFill/>
                </a:ln>
                <a:effectLst/>
              </c:spPr>
            </c:marker>
            <c:bubble3D val="0"/>
            <c:extLst>
              <c:ext xmlns:c16="http://schemas.microsoft.com/office/drawing/2014/chart" uri="{C3380CC4-5D6E-409C-BE32-E72D297353CC}">
                <c16:uniqueId val="{00000011-0829-46DB-921D-278B90929850}"/>
              </c:ext>
            </c:extLst>
          </c:dPt>
          <c:dPt>
            <c:idx val="2"/>
            <c:marker>
              <c:symbol val="none"/>
            </c:marker>
            <c:bubble3D val="0"/>
            <c:extLst>
              <c:ext xmlns:c16="http://schemas.microsoft.com/office/drawing/2014/chart" uri="{C3380CC4-5D6E-409C-BE32-E72D297353CC}">
                <c16:uniqueId val="{00000007-0829-46DB-921D-278B90929850}"/>
              </c:ext>
            </c:extLst>
          </c:dPt>
          <c:dLbls>
            <c:dLbl>
              <c:idx val="0"/>
              <c:delete val="1"/>
              <c:extLst>
                <c:ext xmlns:c15="http://schemas.microsoft.com/office/drawing/2012/chart" uri="{CE6537A1-D6FC-4f65-9D91-7224C49458BB}"/>
                <c:ext xmlns:c16="http://schemas.microsoft.com/office/drawing/2014/chart" uri="{C3380CC4-5D6E-409C-BE32-E72D297353CC}">
                  <c16:uniqueId val="{00000008-0829-46DB-921D-278B90929850}"/>
                </c:ext>
              </c:extLst>
            </c:dLbl>
            <c:dLbl>
              <c:idx val="2"/>
              <c:delete val="1"/>
              <c:extLst>
                <c:ext xmlns:c15="http://schemas.microsoft.com/office/drawing/2012/chart" uri="{CE6537A1-D6FC-4f65-9D91-7224C49458BB}"/>
                <c:ext xmlns:c16="http://schemas.microsoft.com/office/drawing/2014/chart" uri="{C3380CC4-5D6E-409C-BE32-E72D297353CC}">
                  <c16:uniqueId val="{00000007-0829-46DB-921D-278B9092985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ANALYSIS'!$T$61:$T$63</c:f>
              <c:numCache>
                <c:formatCode>0.0</c:formatCode>
                <c:ptCount val="3"/>
                <c:pt idx="0">
                  <c:v>0</c:v>
                </c:pt>
                <c:pt idx="1">
                  <c:v>0</c:v>
                </c:pt>
                <c:pt idx="2">
                  <c:v>0</c:v>
                </c:pt>
              </c:numCache>
            </c:numRef>
          </c:xVal>
          <c:yVal>
            <c:numRef>
              <c:f>'3.2 TAT ANALYSIS'!$T$64:$T$66</c:f>
              <c:numCache>
                <c:formatCode>0.0</c:formatCode>
                <c:ptCount val="3"/>
                <c:pt idx="0">
                  <c:v>0.5</c:v>
                </c:pt>
                <c:pt idx="1">
                  <c:v>0.5</c:v>
                </c:pt>
                <c:pt idx="2">
                  <c:v>0.5</c:v>
                </c:pt>
              </c:numCache>
            </c:numRef>
          </c:yVal>
          <c:smooth val="0"/>
          <c:extLst>
            <c:ext xmlns:c16="http://schemas.microsoft.com/office/drawing/2014/chart" uri="{C3380CC4-5D6E-409C-BE32-E72D297353CC}">
              <c16:uniqueId val="{0000000E-67E3-4327-A9A1-71DE9532B408}"/>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a:t>
            </a:r>
            <a:r>
              <a:rPr lang="en-US" sz="1600" baseline="0"/>
              <a:t> Time in Days: Lab Turnaround</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ANALYSIS'!$O$69</c:f>
              <c:strCache>
                <c:ptCount val="1"/>
              </c:strCache>
            </c:strRef>
          </c:tx>
          <c:spPr>
            <a:ln w="2540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1-1F16-493E-8FF5-E73AB748056E}"/>
              </c:ext>
            </c:extLst>
          </c:dPt>
          <c:dPt>
            <c:idx val="1"/>
            <c:marker>
              <c:symbol val="circle"/>
              <c:size val="20"/>
              <c:spPr>
                <a:solidFill>
                  <a:schemeClr val="accent5"/>
                </a:solidFill>
                <a:ln w="9525">
                  <a:noFill/>
                </a:ln>
                <a:effectLst/>
              </c:spPr>
            </c:marker>
            <c:bubble3D val="0"/>
            <c:extLst>
              <c:ext xmlns:c16="http://schemas.microsoft.com/office/drawing/2014/chart" uri="{C3380CC4-5D6E-409C-BE32-E72D297353CC}">
                <c16:uniqueId val="{0000000B-1F16-493E-8FF5-E73AB748056E}"/>
              </c:ext>
            </c:extLst>
          </c:dPt>
          <c:dPt>
            <c:idx val="2"/>
            <c:marker>
              <c:symbol val="none"/>
            </c:marker>
            <c:bubble3D val="0"/>
            <c:extLst>
              <c:ext xmlns:c16="http://schemas.microsoft.com/office/drawing/2014/chart" uri="{C3380CC4-5D6E-409C-BE32-E72D297353CC}">
                <c16:uniqueId val="{00000000-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1-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0-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ANALYSIS'!$O$92:$O$94</c:f>
              <c:numCache>
                <c:formatCode>0.0</c:formatCode>
                <c:ptCount val="3"/>
                <c:pt idx="0">
                  <c:v>0</c:v>
                </c:pt>
                <c:pt idx="1">
                  <c:v>0</c:v>
                </c:pt>
                <c:pt idx="2">
                  <c:v>0</c:v>
                </c:pt>
              </c:numCache>
            </c:numRef>
          </c:xVal>
          <c:yVal>
            <c:numRef>
              <c:f>'3.2 TAT ANALYSIS'!$O$95:$O$97</c:f>
              <c:numCache>
                <c:formatCode>0.0</c:formatCode>
                <c:ptCount val="3"/>
                <c:pt idx="0">
                  <c:v>-1</c:v>
                </c:pt>
                <c:pt idx="1">
                  <c:v>-1</c:v>
                </c:pt>
                <c:pt idx="2">
                  <c:v>-1</c:v>
                </c:pt>
              </c:numCache>
            </c:numRef>
          </c:yVal>
          <c:smooth val="0"/>
          <c:extLst>
            <c:ext xmlns:c16="http://schemas.microsoft.com/office/drawing/2014/chart" uri="{C3380CC4-5D6E-409C-BE32-E72D297353CC}">
              <c16:uniqueId val="{00000003-4598-4685-A898-8141C7CC32D6}"/>
            </c:ext>
          </c:extLst>
        </c:ser>
        <c:ser>
          <c:idx val="1"/>
          <c:order val="1"/>
          <c:tx>
            <c:strRef>
              <c:f>'3.2 TAT ANALYSIS'!$P$69</c:f>
              <c:strCache>
                <c:ptCount val="1"/>
              </c:strCache>
            </c:strRef>
          </c:tx>
          <c:spPr>
            <a:ln w="254000" cap="flat">
              <a:solidFill>
                <a:schemeClr val="bg2"/>
              </a:solidFill>
              <a:round/>
            </a:ln>
            <a:effectLst/>
          </c:spPr>
          <c:marker>
            <c:symbol val="circle"/>
            <c:size val="20"/>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3-1F16-493E-8FF5-E73AB748056E}"/>
              </c:ext>
            </c:extLst>
          </c:dPt>
          <c:dPt>
            <c:idx val="2"/>
            <c:marker>
              <c:symbol val="none"/>
            </c:marker>
            <c:bubble3D val="0"/>
            <c:extLst>
              <c:ext xmlns:c16="http://schemas.microsoft.com/office/drawing/2014/chart" uri="{C3380CC4-5D6E-409C-BE32-E72D297353CC}">
                <c16:uniqueId val="{00000002-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3-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2-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ANALYSIS'!$P$92:$P$94</c:f>
              <c:numCache>
                <c:formatCode>0.0</c:formatCode>
                <c:ptCount val="3"/>
                <c:pt idx="0">
                  <c:v>0</c:v>
                </c:pt>
                <c:pt idx="1">
                  <c:v>0</c:v>
                </c:pt>
                <c:pt idx="2">
                  <c:v>0</c:v>
                </c:pt>
              </c:numCache>
            </c:numRef>
          </c:xVal>
          <c:yVal>
            <c:numRef>
              <c:f>'3.2 TAT ANALYSIS'!$P$95:$P$97</c:f>
              <c:numCache>
                <c:formatCode>0.0</c:formatCode>
                <c:ptCount val="3"/>
                <c:pt idx="0">
                  <c:v>-1</c:v>
                </c:pt>
                <c:pt idx="1">
                  <c:v>-1</c:v>
                </c:pt>
                <c:pt idx="2">
                  <c:v>-1</c:v>
                </c:pt>
              </c:numCache>
            </c:numRef>
          </c:yVal>
          <c:smooth val="0"/>
          <c:extLst>
            <c:ext xmlns:c16="http://schemas.microsoft.com/office/drawing/2014/chart" uri="{C3380CC4-5D6E-409C-BE32-E72D297353CC}">
              <c16:uniqueId val="{00000007-4598-4685-A898-8141C7CC32D6}"/>
            </c:ext>
          </c:extLst>
        </c:ser>
        <c:ser>
          <c:idx val="2"/>
          <c:order val="2"/>
          <c:tx>
            <c:strRef>
              <c:f>'3.2 TAT ANALYSIS'!$Q$69</c:f>
              <c:strCache>
                <c:ptCount val="1"/>
              </c:strCache>
            </c:strRef>
          </c:tx>
          <c:spPr>
            <a:ln w="2540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5-1F16-493E-8FF5-E73AB748056E}"/>
              </c:ext>
            </c:extLst>
          </c:dPt>
          <c:dPt>
            <c:idx val="1"/>
            <c:marker>
              <c:symbol val="circle"/>
              <c:size val="20"/>
              <c:spPr>
                <a:solidFill>
                  <a:schemeClr val="accent5"/>
                </a:solidFill>
                <a:ln w="9525">
                  <a:noFill/>
                </a:ln>
                <a:effectLst/>
              </c:spPr>
            </c:marker>
            <c:bubble3D val="0"/>
            <c:extLst>
              <c:ext xmlns:c16="http://schemas.microsoft.com/office/drawing/2014/chart" uri="{C3380CC4-5D6E-409C-BE32-E72D297353CC}">
                <c16:uniqueId val="{0000000C-1F16-493E-8FF5-E73AB748056E}"/>
              </c:ext>
            </c:extLst>
          </c:dPt>
          <c:dPt>
            <c:idx val="2"/>
            <c:marker>
              <c:symbol val="none"/>
            </c:marker>
            <c:bubble3D val="0"/>
            <c:extLst>
              <c:ext xmlns:c16="http://schemas.microsoft.com/office/drawing/2014/chart" uri="{C3380CC4-5D6E-409C-BE32-E72D297353CC}">
                <c16:uniqueId val="{00000004-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5-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4-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ANALYSIS'!$Q$92:$Q$94</c:f>
              <c:numCache>
                <c:formatCode>0.0</c:formatCode>
                <c:ptCount val="3"/>
                <c:pt idx="0">
                  <c:v>0</c:v>
                </c:pt>
                <c:pt idx="1">
                  <c:v>0</c:v>
                </c:pt>
                <c:pt idx="2">
                  <c:v>0</c:v>
                </c:pt>
              </c:numCache>
            </c:numRef>
          </c:xVal>
          <c:yVal>
            <c:numRef>
              <c:f>'3.2 TAT ANALYSIS'!$Q$95:$Q$97</c:f>
              <c:numCache>
                <c:formatCode>0.0</c:formatCode>
                <c:ptCount val="3"/>
                <c:pt idx="0">
                  <c:v>-1</c:v>
                </c:pt>
                <c:pt idx="1">
                  <c:v>-1</c:v>
                </c:pt>
                <c:pt idx="2">
                  <c:v>-1</c:v>
                </c:pt>
              </c:numCache>
            </c:numRef>
          </c:yVal>
          <c:smooth val="0"/>
          <c:extLst>
            <c:ext xmlns:c16="http://schemas.microsoft.com/office/drawing/2014/chart" uri="{C3380CC4-5D6E-409C-BE32-E72D297353CC}">
              <c16:uniqueId val="{0000000B-4598-4685-A898-8141C7CC32D6}"/>
            </c:ext>
          </c:extLst>
        </c:ser>
        <c:ser>
          <c:idx val="4"/>
          <c:order val="3"/>
          <c:tx>
            <c:strRef>
              <c:f>'3.2 TAT ANALYSIS'!$R$69</c:f>
              <c:strCache>
                <c:ptCount val="1"/>
              </c:strCache>
            </c:strRef>
          </c:tx>
          <c:spPr>
            <a:ln w="254000" cap="flat">
              <a:solidFill>
                <a:schemeClr val="bg2"/>
              </a:solidFill>
              <a:round/>
            </a:ln>
            <a:effectLst/>
          </c:spPr>
          <c:marker>
            <c:symbol val="circle"/>
            <c:size val="20"/>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E-1F16-493E-8FF5-E73AB748056E}"/>
              </c:ext>
            </c:extLst>
          </c:dPt>
          <c:dPt>
            <c:idx val="2"/>
            <c:marker>
              <c:symbol val="none"/>
            </c:marker>
            <c:bubble3D val="0"/>
            <c:extLst>
              <c:ext xmlns:c16="http://schemas.microsoft.com/office/drawing/2014/chart" uri="{C3380CC4-5D6E-409C-BE32-E72D297353CC}">
                <c16:uniqueId val="{0000000D-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E-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D-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ANALYSIS'!$R$92:$R$94</c:f>
              <c:numCache>
                <c:formatCode>0.0</c:formatCode>
                <c:ptCount val="3"/>
                <c:pt idx="0">
                  <c:v>0</c:v>
                </c:pt>
                <c:pt idx="1">
                  <c:v>0</c:v>
                </c:pt>
                <c:pt idx="2">
                  <c:v>0</c:v>
                </c:pt>
              </c:numCache>
            </c:numRef>
          </c:xVal>
          <c:yVal>
            <c:numRef>
              <c:f>'3.2 TAT ANALYSIS'!$R$95:$R$97</c:f>
              <c:numCache>
                <c:formatCode>0.0</c:formatCode>
                <c:ptCount val="3"/>
                <c:pt idx="0">
                  <c:v>-1</c:v>
                </c:pt>
                <c:pt idx="1">
                  <c:v>-1</c:v>
                </c:pt>
                <c:pt idx="2">
                  <c:v>-1</c:v>
                </c:pt>
              </c:numCache>
            </c:numRef>
          </c:yVal>
          <c:smooth val="0"/>
          <c:extLst>
            <c:ext xmlns:c16="http://schemas.microsoft.com/office/drawing/2014/chart" uri="{C3380CC4-5D6E-409C-BE32-E72D297353CC}">
              <c16:uniqueId val="{00000009-1F16-493E-8FF5-E73AB748056E}"/>
            </c:ext>
          </c:extLst>
        </c:ser>
        <c:ser>
          <c:idx val="5"/>
          <c:order val="4"/>
          <c:tx>
            <c:strRef>
              <c:f>'3.2 TAT ANALYSIS'!$S$69</c:f>
              <c:strCache>
                <c:ptCount val="1"/>
              </c:strCache>
            </c:strRef>
          </c:tx>
          <c:spPr>
            <a:ln w="254000" cap="flat">
              <a:solidFill>
                <a:schemeClr val="bg2"/>
              </a:solidFill>
              <a:round/>
            </a:ln>
            <a:effectLst/>
          </c:spPr>
          <c:marker>
            <c:symbol val="circle"/>
            <c:size val="20"/>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10-1F16-493E-8FF5-E73AB748056E}"/>
              </c:ext>
            </c:extLst>
          </c:dPt>
          <c:dPt>
            <c:idx val="2"/>
            <c:marker>
              <c:symbol val="none"/>
            </c:marker>
            <c:bubble3D val="0"/>
            <c:extLst>
              <c:ext xmlns:c16="http://schemas.microsoft.com/office/drawing/2014/chart" uri="{C3380CC4-5D6E-409C-BE32-E72D297353CC}">
                <c16:uniqueId val="{0000000F-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10-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F-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ANALYSIS'!$S$92:$S$94</c:f>
              <c:numCache>
                <c:formatCode>0.0</c:formatCode>
                <c:ptCount val="3"/>
                <c:pt idx="0">
                  <c:v>0</c:v>
                </c:pt>
                <c:pt idx="1">
                  <c:v>0</c:v>
                </c:pt>
                <c:pt idx="2">
                  <c:v>0</c:v>
                </c:pt>
              </c:numCache>
            </c:numRef>
          </c:xVal>
          <c:yVal>
            <c:numRef>
              <c:f>'3.2 TAT ANALYSIS'!$S$95:$S$97</c:f>
              <c:numCache>
                <c:formatCode>0.0</c:formatCode>
                <c:ptCount val="3"/>
                <c:pt idx="0">
                  <c:v>-1</c:v>
                </c:pt>
                <c:pt idx="1">
                  <c:v>-1</c:v>
                </c:pt>
                <c:pt idx="2">
                  <c:v>-1</c:v>
                </c:pt>
              </c:numCache>
            </c:numRef>
          </c:yVal>
          <c:smooth val="0"/>
          <c:extLst>
            <c:ext xmlns:c16="http://schemas.microsoft.com/office/drawing/2014/chart" uri="{C3380CC4-5D6E-409C-BE32-E72D297353CC}">
              <c16:uniqueId val="{0000000A-1F16-493E-8FF5-E73AB748056E}"/>
            </c:ext>
          </c:extLst>
        </c:ser>
        <c:ser>
          <c:idx val="3"/>
          <c:order val="5"/>
          <c:tx>
            <c:strRef>
              <c:f>'3.2 TAT ANALYSIS'!$T$69</c:f>
              <c:strCache>
                <c:ptCount val="1"/>
                <c:pt idx="0">
                  <c:v>Overall</c:v>
                </c:pt>
              </c:strCache>
            </c:strRef>
          </c:tx>
          <c:spPr>
            <a:ln w="254000" cap="flat">
              <a:solidFill>
                <a:schemeClr val="bg2"/>
              </a:solidFill>
              <a:round/>
            </a:ln>
            <a:effectLst/>
          </c:spPr>
          <c:marker>
            <c:symbol val="circle"/>
            <c:size val="25"/>
            <c:spPr>
              <a:solidFill>
                <a:schemeClr val="accent5"/>
              </a:solidFill>
              <a:ln w="9525">
                <a:noFill/>
              </a:ln>
              <a:effectLst/>
            </c:spPr>
          </c:marker>
          <c:dPt>
            <c:idx val="0"/>
            <c:marker>
              <c:symbol val="none"/>
            </c:marker>
            <c:bubble3D val="0"/>
            <c:extLst>
              <c:ext xmlns:c16="http://schemas.microsoft.com/office/drawing/2014/chart" uri="{C3380CC4-5D6E-409C-BE32-E72D297353CC}">
                <c16:uniqueId val="{00000007-1F16-493E-8FF5-E73AB748056E}"/>
              </c:ext>
            </c:extLst>
          </c:dPt>
          <c:dPt>
            <c:idx val="1"/>
            <c:marker>
              <c:symbol val="circle"/>
              <c:size val="20"/>
              <c:spPr>
                <a:solidFill>
                  <a:schemeClr val="accent5"/>
                </a:solidFill>
                <a:ln w="9525">
                  <a:noFill/>
                </a:ln>
                <a:effectLst/>
              </c:spPr>
            </c:marker>
            <c:bubble3D val="0"/>
            <c:extLst>
              <c:ext xmlns:c16="http://schemas.microsoft.com/office/drawing/2014/chart" uri="{C3380CC4-5D6E-409C-BE32-E72D297353CC}">
                <c16:uniqueId val="{00000011-1F16-493E-8FF5-E73AB748056E}"/>
              </c:ext>
            </c:extLst>
          </c:dPt>
          <c:dPt>
            <c:idx val="2"/>
            <c:marker>
              <c:symbol val="none"/>
            </c:marker>
            <c:bubble3D val="0"/>
            <c:extLst>
              <c:ext xmlns:c16="http://schemas.microsoft.com/office/drawing/2014/chart" uri="{C3380CC4-5D6E-409C-BE32-E72D297353CC}">
                <c16:uniqueId val="{00000006-1F16-493E-8FF5-E73AB748056E}"/>
              </c:ext>
            </c:extLst>
          </c:dPt>
          <c:dLbls>
            <c:dLbl>
              <c:idx val="0"/>
              <c:delete val="1"/>
              <c:extLst>
                <c:ext xmlns:c15="http://schemas.microsoft.com/office/drawing/2012/chart" uri="{CE6537A1-D6FC-4f65-9D91-7224C49458BB}"/>
                <c:ext xmlns:c16="http://schemas.microsoft.com/office/drawing/2014/chart" uri="{C3380CC4-5D6E-409C-BE32-E72D297353CC}">
                  <c16:uniqueId val="{00000007-1F16-493E-8FF5-E73AB748056E}"/>
                </c:ext>
              </c:extLst>
            </c:dLbl>
            <c:dLbl>
              <c:idx val="2"/>
              <c:delete val="1"/>
              <c:extLst>
                <c:ext xmlns:c15="http://schemas.microsoft.com/office/drawing/2012/chart" uri="{CE6537A1-D6FC-4f65-9D91-7224C49458BB}"/>
                <c:ext xmlns:c16="http://schemas.microsoft.com/office/drawing/2014/chart" uri="{C3380CC4-5D6E-409C-BE32-E72D297353CC}">
                  <c16:uniqueId val="{00000006-1F16-493E-8FF5-E73AB748056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ANALYSIS'!$T$92:$T$94</c:f>
              <c:numCache>
                <c:formatCode>0.0</c:formatCode>
                <c:ptCount val="3"/>
                <c:pt idx="0">
                  <c:v>0</c:v>
                </c:pt>
                <c:pt idx="1">
                  <c:v>0</c:v>
                </c:pt>
                <c:pt idx="2">
                  <c:v>0</c:v>
                </c:pt>
              </c:numCache>
            </c:numRef>
          </c:xVal>
          <c:yVal>
            <c:numRef>
              <c:f>'3.2 TAT ANALYSIS'!$T$95:$T$97</c:f>
              <c:numCache>
                <c:formatCode>0.0</c:formatCode>
                <c:ptCount val="3"/>
                <c:pt idx="0">
                  <c:v>0.5</c:v>
                </c:pt>
                <c:pt idx="1">
                  <c:v>0.5</c:v>
                </c:pt>
                <c:pt idx="2">
                  <c:v>0.5</c:v>
                </c:pt>
              </c:numCache>
            </c:numRef>
          </c:yVal>
          <c:smooth val="0"/>
          <c:extLst>
            <c:ext xmlns:c16="http://schemas.microsoft.com/office/drawing/2014/chart" uri="{C3380CC4-5D6E-409C-BE32-E72D297353CC}">
              <c16:uniqueId val="{0000000F-4598-4685-A898-8141C7CC32D6}"/>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 Time in Days: Diagnosis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ANALYSIS'!$O$100</c:f>
              <c:strCache>
                <c:ptCount val="1"/>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1-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0C-2500-4521-8807-BB9B94EC6700}"/>
              </c:ext>
            </c:extLst>
          </c:dPt>
          <c:dPt>
            <c:idx val="2"/>
            <c:marker>
              <c:symbol val="none"/>
            </c:marker>
            <c:bubble3D val="0"/>
            <c:extLst>
              <c:ext xmlns:c16="http://schemas.microsoft.com/office/drawing/2014/chart" uri="{C3380CC4-5D6E-409C-BE32-E72D297353CC}">
                <c16:uniqueId val="{00000000-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1-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0-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ANALYSIS'!$O$123:$O$125</c:f>
              <c:numCache>
                <c:formatCode>0.0</c:formatCode>
                <c:ptCount val="3"/>
                <c:pt idx="0">
                  <c:v>0</c:v>
                </c:pt>
                <c:pt idx="1">
                  <c:v>0</c:v>
                </c:pt>
                <c:pt idx="2">
                  <c:v>0</c:v>
                </c:pt>
              </c:numCache>
            </c:numRef>
          </c:xVal>
          <c:yVal>
            <c:numRef>
              <c:f>'3.2 TAT ANALYSIS'!$O$126:$O$128</c:f>
              <c:numCache>
                <c:formatCode>0.0</c:formatCode>
                <c:ptCount val="3"/>
                <c:pt idx="0">
                  <c:v>-1</c:v>
                </c:pt>
                <c:pt idx="1">
                  <c:v>-1</c:v>
                </c:pt>
                <c:pt idx="2">
                  <c:v>-1</c:v>
                </c:pt>
              </c:numCache>
            </c:numRef>
          </c:yVal>
          <c:smooth val="0"/>
          <c:extLst>
            <c:ext xmlns:c16="http://schemas.microsoft.com/office/drawing/2014/chart" uri="{C3380CC4-5D6E-409C-BE32-E72D297353CC}">
              <c16:uniqueId val="{00000002-13C0-481B-A9F5-31741D3677CF}"/>
            </c:ext>
          </c:extLst>
        </c:ser>
        <c:ser>
          <c:idx val="1"/>
          <c:order val="1"/>
          <c:tx>
            <c:strRef>
              <c:f>'3.2 TAT ANALYSIS'!$P$100</c:f>
              <c:strCache>
                <c:ptCount val="1"/>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3-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04-2500-4521-8807-BB9B94EC6700}"/>
              </c:ext>
            </c:extLst>
          </c:dPt>
          <c:dPt>
            <c:idx val="2"/>
            <c:marker>
              <c:symbol val="none"/>
            </c:marker>
            <c:bubble3D val="0"/>
            <c:extLst>
              <c:ext xmlns:c16="http://schemas.microsoft.com/office/drawing/2014/chart" uri="{C3380CC4-5D6E-409C-BE32-E72D297353CC}">
                <c16:uniqueId val="{00000002-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3-2500-4521-8807-BB9B94EC6700}"/>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4-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2-2500-4521-8807-BB9B94EC67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ANALYSIS'!$P$123:$P$125</c:f>
              <c:numCache>
                <c:formatCode>0.0</c:formatCode>
                <c:ptCount val="3"/>
                <c:pt idx="0">
                  <c:v>0</c:v>
                </c:pt>
                <c:pt idx="1">
                  <c:v>0</c:v>
                </c:pt>
                <c:pt idx="2">
                  <c:v>0</c:v>
                </c:pt>
              </c:numCache>
            </c:numRef>
          </c:xVal>
          <c:yVal>
            <c:numRef>
              <c:f>'3.2 TAT ANALYSIS'!$P$126:$P$128</c:f>
              <c:numCache>
                <c:formatCode>0.0</c:formatCode>
                <c:ptCount val="3"/>
                <c:pt idx="0">
                  <c:v>-1</c:v>
                </c:pt>
                <c:pt idx="1">
                  <c:v>-1</c:v>
                </c:pt>
                <c:pt idx="2">
                  <c:v>-1</c:v>
                </c:pt>
              </c:numCache>
            </c:numRef>
          </c:yVal>
          <c:smooth val="0"/>
          <c:extLst>
            <c:ext xmlns:c16="http://schemas.microsoft.com/office/drawing/2014/chart" uri="{C3380CC4-5D6E-409C-BE32-E72D297353CC}">
              <c16:uniqueId val="{00000006-13C0-481B-A9F5-31741D3677CF}"/>
            </c:ext>
          </c:extLst>
        </c:ser>
        <c:ser>
          <c:idx val="2"/>
          <c:order val="2"/>
          <c:tx>
            <c:strRef>
              <c:f>'3.2 TAT ANALYSIS'!$Q$100</c:f>
              <c:strCache>
                <c:ptCount val="1"/>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6-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0D-2500-4521-8807-BB9B94EC6700}"/>
              </c:ext>
            </c:extLst>
          </c:dPt>
          <c:dPt>
            <c:idx val="2"/>
            <c:marker>
              <c:symbol val="none"/>
            </c:marker>
            <c:bubble3D val="0"/>
            <c:extLst>
              <c:ext xmlns:c16="http://schemas.microsoft.com/office/drawing/2014/chart" uri="{C3380CC4-5D6E-409C-BE32-E72D297353CC}">
                <c16:uniqueId val="{00000005-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6-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5-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ANALYSIS'!$Q$123:$Q$125</c:f>
              <c:numCache>
                <c:formatCode>0.0</c:formatCode>
                <c:ptCount val="3"/>
                <c:pt idx="0">
                  <c:v>0</c:v>
                </c:pt>
                <c:pt idx="1">
                  <c:v>0</c:v>
                </c:pt>
                <c:pt idx="2">
                  <c:v>0</c:v>
                </c:pt>
              </c:numCache>
            </c:numRef>
          </c:xVal>
          <c:yVal>
            <c:numRef>
              <c:f>'3.2 TAT ANALYSIS'!$Q$126:$Q$128</c:f>
              <c:numCache>
                <c:formatCode>0.0</c:formatCode>
                <c:ptCount val="3"/>
                <c:pt idx="0">
                  <c:v>-1</c:v>
                </c:pt>
                <c:pt idx="1">
                  <c:v>-1</c:v>
                </c:pt>
                <c:pt idx="2">
                  <c:v>-1</c:v>
                </c:pt>
              </c:numCache>
            </c:numRef>
          </c:yVal>
          <c:smooth val="0"/>
          <c:extLst>
            <c:ext xmlns:c16="http://schemas.microsoft.com/office/drawing/2014/chart" uri="{C3380CC4-5D6E-409C-BE32-E72D297353CC}">
              <c16:uniqueId val="{0000000A-13C0-481B-A9F5-31741D3677CF}"/>
            </c:ext>
          </c:extLst>
        </c:ser>
        <c:ser>
          <c:idx val="4"/>
          <c:order val="3"/>
          <c:tx>
            <c:strRef>
              <c:f>'3.2 TAT ANALYSIS'!$R$100</c:f>
              <c:strCache>
                <c:ptCount val="1"/>
              </c:strCache>
            </c:strRef>
          </c:tx>
          <c:spPr>
            <a:ln w="254000" cap="flat">
              <a:solidFill>
                <a:schemeClr val="bg2"/>
              </a:solidFill>
              <a:round/>
            </a:ln>
            <a:effectLst/>
          </c:spPr>
          <c:marker>
            <c:symbol val="circle"/>
            <c:size val="20"/>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F-2500-4521-8807-BB9B94EC6700}"/>
              </c:ext>
            </c:extLst>
          </c:dPt>
          <c:dPt>
            <c:idx val="2"/>
            <c:marker>
              <c:symbol val="none"/>
            </c:marker>
            <c:bubble3D val="0"/>
            <c:extLst>
              <c:ext xmlns:c16="http://schemas.microsoft.com/office/drawing/2014/chart" uri="{C3380CC4-5D6E-409C-BE32-E72D297353CC}">
                <c16:uniqueId val="{0000000E-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F-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E-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ANALYSIS'!$R$123:$R$125</c:f>
              <c:numCache>
                <c:formatCode>0.0</c:formatCode>
                <c:ptCount val="3"/>
                <c:pt idx="0">
                  <c:v>0</c:v>
                </c:pt>
                <c:pt idx="1">
                  <c:v>0</c:v>
                </c:pt>
                <c:pt idx="2">
                  <c:v>0</c:v>
                </c:pt>
              </c:numCache>
            </c:numRef>
          </c:xVal>
          <c:yVal>
            <c:numRef>
              <c:f>'3.2 TAT ANALYSIS'!$R$126:$R$128</c:f>
              <c:numCache>
                <c:formatCode>0.0</c:formatCode>
                <c:ptCount val="3"/>
                <c:pt idx="0">
                  <c:v>-1</c:v>
                </c:pt>
                <c:pt idx="1">
                  <c:v>-1</c:v>
                </c:pt>
                <c:pt idx="2">
                  <c:v>-1</c:v>
                </c:pt>
              </c:numCache>
            </c:numRef>
          </c:yVal>
          <c:smooth val="0"/>
          <c:extLst>
            <c:ext xmlns:c16="http://schemas.microsoft.com/office/drawing/2014/chart" uri="{C3380CC4-5D6E-409C-BE32-E72D297353CC}">
              <c16:uniqueId val="{0000000A-2500-4521-8807-BB9B94EC6700}"/>
            </c:ext>
          </c:extLst>
        </c:ser>
        <c:ser>
          <c:idx val="5"/>
          <c:order val="4"/>
          <c:tx>
            <c:strRef>
              <c:f>'3.2 TAT ANALYSIS'!$S$100</c:f>
              <c:strCache>
                <c:ptCount val="1"/>
              </c:strCache>
            </c:strRef>
          </c:tx>
          <c:spPr>
            <a:ln w="254000" cap="flat">
              <a:solidFill>
                <a:schemeClr val="bg2"/>
              </a:solidFill>
              <a:round/>
            </a:ln>
            <a:effectLst/>
          </c:spPr>
          <c:marker>
            <c:symbol val="circle"/>
            <c:size val="20"/>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11-2500-4521-8807-BB9B94EC6700}"/>
              </c:ext>
            </c:extLst>
          </c:dPt>
          <c:dPt>
            <c:idx val="2"/>
            <c:marker>
              <c:symbol val="none"/>
            </c:marker>
            <c:bubble3D val="0"/>
            <c:extLst>
              <c:ext xmlns:c16="http://schemas.microsoft.com/office/drawing/2014/chart" uri="{C3380CC4-5D6E-409C-BE32-E72D297353CC}">
                <c16:uniqueId val="{00000010-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11-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10-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ANALYSIS'!$S$123:$S$125</c:f>
              <c:numCache>
                <c:formatCode>0.0</c:formatCode>
                <c:ptCount val="3"/>
                <c:pt idx="0">
                  <c:v>0</c:v>
                </c:pt>
                <c:pt idx="1">
                  <c:v>0</c:v>
                </c:pt>
                <c:pt idx="2">
                  <c:v>0</c:v>
                </c:pt>
              </c:numCache>
            </c:numRef>
          </c:xVal>
          <c:yVal>
            <c:numRef>
              <c:f>'3.2 TAT ANALYSIS'!$S$126:$S$128</c:f>
              <c:numCache>
                <c:formatCode>0.0</c:formatCode>
                <c:ptCount val="3"/>
                <c:pt idx="0">
                  <c:v>-1</c:v>
                </c:pt>
                <c:pt idx="1">
                  <c:v>-1</c:v>
                </c:pt>
                <c:pt idx="2">
                  <c:v>-1</c:v>
                </c:pt>
              </c:numCache>
            </c:numRef>
          </c:yVal>
          <c:smooth val="0"/>
          <c:extLst>
            <c:ext xmlns:c16="http://schemas.microsoft.com/office/drawing/2014/chart" uri="{C3380CC4-5D6E-409C-BE32-E72D297353CC}">
              <c16:uniqueId val="{0000000B-2500-4521-8807-BB9B94EC6700}"/>
            </c:ext>
          </c:extLst>
        </c:ser>
        <c:ser>
          <c:idx val="3"/>
          <c:order val="5"/>
          <c:tx>
            <c:strRef>
              <c:f>'3.2 TAT ANALYSIS'!$T$100</c:f>
              <c:strCache>
                <c:ptCount val="1"/>
                <c:pt idx="0">
                  <c:v>Overall</c:v>
                </c:pt>
              </c:strCache>
            </c:strRef>
          </c:tx>
          <c:spPr>
            <a:ln w="254000" cap="flat">
              <a:solidFill>
                <a:schemeClr val="bg2"/>
              </a:solidFill>
              <a:round/>
            </a:ln>
            <a:effectLst/>
          </c:spPr>
          <c:marker>
            <c:symbol val="circle"/>
            <c:size val="25"/>
            <c:spPr>
              <a:solidFill>
                <a:schemeClr val="accent1"/>
              </a:solidFill>
              <a:ln w="9525">
                <a:noFill/>
              </a:ln>
              <a:effectLst/>
            </c:spPr>
          </c:marker>
          <c:dPt>
            <c:idx val="0"/>
            <c:marker>
              <c:symbol val="none"/>
            </c:marker>
            <c:bubble3D val="0"/>
            <c:extLst>
              <c:ext xmlns:c16="http://schemas.microsoft.com/office/drawing/2014/chart" uri="{C3380CC4-5D6E-409C-BE32-E72D297353CC}">
                <c16:uniqueId val="{00000008-2500-4521-8807-BB9B94EC6700}"/>
              </c:ext>
            </c:extLst>
          </c:dPt>
          <c:dPt>
            <c:idx val="1"/>
            <c:marker>
              <c:symbol val="circle"/>
              <c:size val="20"/>
              <c:spPr>
                <a:solidFill>
                  <a:schemeClr val="accent1"/>
                </a:solidFill>
                <a:ln w="9525">
                  <a:noFill/>
                </a:ln>
                <a:effectLst/>
              </c:spPr>
            </c:marker>
            <c:bubble3D val="0"/>
            <c:extLst>
              <c:ext xmlns:c16="http://schemas.microsoft.com/office/drawing/2014/chart" uri="{C3380CC4-5D6E-409C-BE32-E72D297353CC}">
                <c16:uniqueId val="{00000012-2500-4521-8807-BB9B94EC6700}"/>
              </c:ext>
            </c:extLst>
          </c:dPt>
          <c:dPt>
            <c:idx val="2"/>
            <c:marker>
              <c:symbol val="none"/>
            </c:marker>
            <c:bubble3D val="0"/>
            <c:extLst>
              <c:ext xmlns:c16="http://schemas.microsoft.com/office/drawing/2014/chart" uri="{C3380CC4-5D6E-409C-BE32-E72D297353CC}">
                <c16:uniqueId val="{00000007-2500-4521-8807-BB9B94EC6700}"/>
              </c:ext>
            </c:extLst>
          </c:dPt>
          <c:dLbls>
            <c:dLbl>
              <c:idx val="0"/>
              <c:delete val="1"/>
              <c:extLst>
                <c:ext xmlns:c15="http://schemas.microsoft.com/office/drawing/2012/chart" uri="{CE6537A1-D6FC-4f65-9D91-7224C49458BB}"/>
                <c:ext xmlns:c16="http://schemas.microsoft.com/office/drawing/2014/chart" uri="{C3380CC4-5D6E-409C-BE32-E72D297353CC}">
                  <c16:uniqueId val="{00000008-2500-4521-8807-BB9B94EC6700}"/>
                </c:ext>
              </c:extLst>
            </c:dLbl>
            <c:dLbl>
              <c:idx val="2"/>
              <c:delete val="1"/>
              <c:extLst>
                <c:ext xmlns:c15="http://schemas.microsoft.com/office/drawing/2012/chart" uri="{CE6537A1-D6FC-4f65-9D91-7224C49458BB}"/>
                <c:ext xmlns:c16="http://schemas.microsoft.com/office/drawing/2014/chart" uri="{C3380CC4-5D6E-409C-BE32-E72D297353CC}">
                  <c16:uniqueId val="{00000007-2500-4521-8807-BB9B94EC670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ANALYSIS'!$T$123:$T$125</c:f>
              <c:numCache>
                <c:formatCode>0.0</c:formatCode>
                <c:ptCount val="3"/>
                <c:pt idx="0">
                  <c:v>0</c:v>
                </c:pt>
                <c:pt idx="1">
                  <c:v>0</c:v>
                </c:pt>
                <c:pt idx="2">
                  <c:v>0</c:v>
                </c:pt>
              </c:numCache>
            </c:numRef>
          </c:xVal>
          <c:yVal>
            <c:numRef>
              <c:f>'3.2 TAT ANALYSIS'!$T$126:$T$128</c:f>
              <c:numCache>
                <c:formatCode>0.0</c:formatCode>
                <c:ptCount val="3"/>
                <c:pt idx="0">
                  <c:v>0.5</c:v>
                </c:pt>
                <c:pt idx="1">
                  <c:v>0.5</c:v>
                </c:pt>
                <c:pt idx="2">
                  <c:v>0.5</c:v>
                </c:pt>
              </c:numCache>
            </c:numRef>
          </c:yVal>
          <c:smooth val="0"/>
          <c:extLst>
            <c:ext xmlns:c16="http://schemas.microsoft.com/office/drawing/2014/chart" uri="{C3380CC4-5D6E-409C-BE32-E72D297353CC}">
              <c16:uniqueId val="{0000000E-13C0-481B-A9F5-31741D3677CF}"/>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Turnaround</a:t>
            </a:r>
            <a:r>
              <a:rPr lang="en-US" sz="1600" baseline="0"/>
              <a:t> Time in Days: Treatment Initiation</a:t>
            </a:r>
            <a:endParaRPr lang="en-US"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ANALYSIS'!$O$131</c:f>
              <c:strCache>
                <c:ptCount val="1"/>
              </c:strCache>
            </c:strRef>
          </c:tx>
          <c:spPr>
            <a:ln w="2540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1-6A08-40C6-B94E-92F6E92C8883}"/>
              </c:ext>
            </c:extLst>
          </c:dPt>
          <c:dPt>
            <c:idx val="1"/>
            <c:marker>
              <c:symbol val="circle"/>
              <c:size val="20"/>
              <c:spPr>
                <a:solidFill>
                  <a:schemeClr val="accent6"/>
                </a:solidFill>
                <a:ln w="9525">
                  <a:noFill/>
                </a:ln>
                <a:effectLst/>
              </c:spPr>
            </c:marker>
            <c:bubble3D val="0"/>
            <c:extLst>
              <c:ext xmlns:c16="http://schemas.microsoft.com/office/drawing/2014/chart" uri="{C3380CC4-5D6E-409C-BE32-E72D297353CC}">
                <c16:uniqueId val="{00000002-6A08-40C6-B94E-92F6E92C8883}"/>
              </c:ext>
            </c:extLst>
          </c:dPt>
          <c:dPt>
            <c:idx val="2"/>
            <c:marker>
              <c:symbol val="none"/>
            </c:marker>
            <c:bubble3D val="0"/>
            <c:extLst>
              <c:ext xmlns:c16="http://schemas.microsoft.com/office/drawing/2014/chart" uri="{C3380CC4-5D6E-409C-BE32-E72D297353CC}">
                <c16:uniqueId val="{00000000-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1-6A08-40C6-B94E-92F6E92C8883}"/>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0-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ANALYSIS'!$O$154:$O$156</c:f>
              <c:numCache>
                <c:formatCode>0.0</c:formatCode>
                <c:ptCount val="3"/>
                <c:pt idx="0">
                  <c:v>0</c:v>
                </c:pt>
                <c:pt idx="1">
                  <c:v>0</c:v>
                </c:pt>
                <c:pt idx="2">
                  <c:v>0</c:v>
                </c:pt>
              </c:numCache>
            </c:numRef>
          </c:xVal>
          <c:yVal>
            <c:numRef>
              <c:f>'3.2 TAT ANALYSIS'!$O$157:$O$159</c:f>
              <c:numCache>
                <c:formatCode>0.0</c:formatCode>
                <c:ptCount val="3"/>
                <c:pt idx="0">
                  <c:v>-1</c:v>
                </c:pt>
                <c:pt idx="1">
                  <c:v>-1</c:v>
                </c:pt>
                <c:pt idx="2">
                  <c:v>-1</c:v>
                </c:pt>
              </c:numCache>
            </c:numRef>
          </c:yVal>
          <c:smooth val="0"/>
          <c:extLst>
            <c:ext xmlns:c16="http://schemas.microsoft.com/office/drawing/2014/chart" uri="{C3380CC4-5D6E-409C-BE32-E72D297353CC}">
              <c16:uniqueId val="{00000002-1F7F-4CBB-BD5D-B308B888A5EB}"/>
            </c:ext>
          </c:extLst>
        </c:ser>
        <c:ser>
          <c:idx val="1"/>
          <c:order val="1"/>
          <c:tx>
            <c:strRef>
              <c:f>'3.2 TAT ANALYSIS'!$P$131</c:f>
              <c:strCache>
                <c:ptCount val="1"/>
              </c:strCache>
            </c:strRef>
          </c:tx>
          <c:spPr>
            <a:ln w="2540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4-6A08-40C6-B94E-92F6E92C8883}"/>
              </c:ext>
            </c:extLst>
          </c:dPt>
          <c:dPt>
            <c:idx val="1"/>
            <c:marker>
              <c:symbol val="circle"/>
              <c:size val="20"/>
              <c:spPr>
                <a:solidFill>
                  <a:schemeClr val="accent6"/>
                </a:solidFill>
                <a:ln w="9525">
                  <a:noFill/>
                </a:ln>
                <a:effectLst/>
              </c:spPr>
            </c:marker>
            <c:bubble3D val="0"/>
            <c:extLst>
              <c:ext xmlns:c16="http://schemas.microsoft.com/office/drawing/2014/chart" uri="{C3380CC4-5D6E-409C-BE32-E72D297353CC}">
                <c16:uniqueId val="{0000000C-6A08-40C6-B94E-92F6E92C8883}"/>
              </c:ext>
            </c:extLst>
          </c:dPt>
          <c:dPt>
            <c:idx val="2"/>
            <c:marker>
              <c:symbol val="none"/>
            </c:marker>
            <c:bubble3D val="0"/>
            <c:extLst>
              <c:ext xmlns:c16="http://schemas.microsoft.com/office/drawing/2014/chart" uri="{C3380CC4-5D6E-409C-BE32-E72D297353CC}">
                <c16:uniqueId val="{00000003-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4-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3-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ANALYSIS'!$P$154:$P$156</c:f>
              <c:numCache>
                <c:formatCode>0.0</c:formatCode>
                <c:ptCount val="3"/>
                <c:pt idx="0">
                  <c:v>0</c:v>
                </c:pt>
                <c:pt idx="1">
                  <c:v>0</c:v>
                </c:pt>
                <c:pt idx="2">
                  <c:v>0</c:v>
                </c:pt>
              </c:numCache>
            </c:numRef>
          </c:xVal>
          <c:yVal>
            <c:numRef>
              <c:f>'3.2 TAT ANALYSIS'!$P$157:$P$159</c:f>
              <c:numCache>
                <c:formatCode>0.0</c:formatCode>
                <c:ptCount val="3"/>
                <c:pt idx="0">
                  <c:v>-1</c:v>
                </c:pt>
                <c:pt idx="1">
                  <c:v>-1</c:v>
                </c:pt>
                <c:pt idx="2">
                  <c:v>-1</c:v>
                </c:pt>
              </c:numCache>
            </c:numRef>
          </c:yVal>
          <c:smooth val="0"/>
          <c:extLst>
            <c:ext xmlns:c16="http://schemas.microsoft.com/office/drawing/2014/chart" uri="{C3380CC4-5D6E-409C-BE32-E72D297353CC}">
              <c16:uniqueId val="{00000006-1F7F-4CBB-BD5D-B308B888A5EB}"/>
            </c:ext>
          </c:extLst>
        </c:ser>
        <c:ser>
          <c:idx val="2"/>
          <c:order val="2"/>
          <c:tx>
            <c:strRef>
              <c:f>'3.2 TAT ANALYSIS'!$Q$131</c:f>
              <c:strCache>
                <c:ptCount val="1"/>
              </c:strCache>
            </c:strRef>
          </c:tx>
          <c:spPr>
            <a:ln w="254000" cap="flat">
              <a:solidFill>
                <a:schemeClr val="bg2"/>
              </a:solidFill>
              <a:round/>
            </a:ln>
            <a:effectLst/>
          </c:spPr>
          <c:marker>
            <c:symbol val="circle"/>
            <c:size val="20"/>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6-6A08-40C6-B94E-92F6E92C8883}"/>
              </c:ext>
            </c:extLst>
          </c:dPt>
          <c:dPt>
            <c:idx val="2"/>
            <c:marker>
              <c:symbol val="none"/>
            </c:marker>
            <c:bubble3D val="0"/>
            <c:extLst>
              <c:ext xmlns:c16="http://schemas.microsoft.com/office/drawing/2014/chart" uri="{C3380CC4-5D6E-409C-BE32-E72D297353CC}">
                <c16:uniqueId val="{00000005-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6-6A08-40C6-B94E-92F6E92C8883}"/>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5-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ANALYSIS'!$Q$154:$Q$156</c:f>
              <c:numCache>
                <c:formatCode>0.0</c:formatCode>
                <c:ptCount val="3"/>
                <c:pt idx="0">
                  <c:v>0</c:v>
                </c:pt>
                <c:pt idx="1">
                  <c:v>0</c:v>
                </c:pt>
                <c:pt idx="2">
                  <c:v>0</c:v>
                </c:pt>
              </c:numCache>
            </c:numRef>
          </c:xVal>
          <c:yVal>
            <c:numRef>
              <c:f>'3.2 TAT ANALYSIS'!$Q$157:$Q$159</c:f>
              <c:numCache>
                <c:formatCode>0.0</c:formatCode>
                <c:ptCount val="3"/>
                <c:pt idx="0">
                  <c:v>-1</c:v>
                </c:pt>
                <c:pt idx="1">
                  <c:v>-1</c:v>
                </c:pt>
                <c:pt idx="2">
                  <c:v>-1</c:v>
                </c:pt>
              </c:numCache>
            </c:numRef>
          </c:yVal>
          <c:smooth val="0"/>
          <c:extLst>
            <c:ext xmlns:c16="http://schemas.microsoft.com/office/drawing/2014/chart" uri="{C3380CC4-5D6E-409C-BE32-E72D297353CC}">
              <c16:uniqueId val="{00000009-1F7F-4CBB-BD5D-B308B888A5EB}"/>
            </c:ext>
          </c:extLst>
        </c:ser>
        <c:ser>
          <c:idx val="4"/>
          <c:order val="3"/>
          <c:tx>
            <c:strRef>
              <c:f>'3.2 TAT ANALYSIS'!$R$131</c:f>
              <c:strCache>
                <c:ptCount val="1"/>
              </c:strCache>
            </c:strRef>
          </c:tx>
          <c:spPr>
            <a:ln w="254000" cap="flat">
              <a:solidFill>
                <a:schemeClr val="bg2"/>
              </a:solidFill>
              <a:round/>
            </a:ln>
            <a:effectLst/>
          </c:spPr>
          <c:marker>
            <c:symbol val="circle"/>
            <c:size val="20"/>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E-6A08-40C6-B94E-92F6E92C8883}"/>
              </c:ext>
            </c:extLst>
          </c:dPt>
          <c:dPt>
            <c:idx val="2"/>
            <c:marker>
              <c:symbol val="none"/>
            </c:marker>
            <c:bubble3D val="0"/>
            <c:extLst>
              <c:ext xmlns:c16="http://schemas.microsoft.com/office/drawing/2014/chart" uri="{C3380CC4-5D6E-409C-BE32-E72D297353CC}">
                <c16:uniqueId val="{0000000D-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E-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D-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ANALYSIS'!$R$154:$R$156</c:f>
              <c:numCache>
                <c:formatCode>0.0</c:formatCode>
                <c:ptCount val="3"/>
                <c:pt idx="0">
                  <c:v>0</c:v>
                </c:pt>
                <c:pt idx="1">
                  <c:v>0</c:v>
                </c:pt>
                <c:pt idx="2">
                  <c:v>0</c:v>
                </c:pt>
              </c:numCache>
            </c:numRef>
          </c:xVal>
          <c:yVal>
            <c:numRef>
              <c:f>'3.2 TAT ANALYSIS'!$R$157:$R$159</c:f>
              <c:numCache>
                <c:formatCode>0.0</c:formatCode>
                <c:ptCount val="3"/>
                <c:pt idx="0">
                  <c:v>-1</c:v>
                </c:pt>
                <c:pt idx="1">
                  <c:v>-1</c:v>
                </c:pt>
                <c:pt idx="2">
                  <c:v>-1</c:v>
                </c:pt>
              </c:numCache>
            </c:numRef>
          </c:yVal>
          <c:smooth val="0"/>
          <c:extLst>
            <c:ext xmlns:c16="http://schemas.microsoft.com/office/drawing/2014/chart" uri="{C3380CC4-5D6E-409C-BE32-E72D297353CC}">
              <c16:uniqueId val="{0000000A-6A08-40C6-B94E-92F6E92C8883}"/>
            </c:ext>
          </c:extLst>
        </c:ser>
        <c:ser>
          <c:idx val="5"/>
          <c:order val="4"/>
          <c:tx>
            <c:strRef>
              <c:f>'3.2 TAT ANALYSIS'!$S$131</c:f>
              <c:strCache>
                <c:ptCount val="1"/>
              </c:strCache>
            </c:strRef>
          </c:tx>
          <c:spPr>
            <a:ln w="254000" cap="flat">
              <a:solidFill>
                <a:schemeClr val="bg2"/>
              </a:solidFill>
              <a:round/>
            </a:ln>
            <a:effectLst/>
          </c:spPr>
          <c:marker>
            <c:symbol val="circle"/>
            <c:size val="20"/>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10-6A08-40C6-B94E-92F6E92C8883}"/>
              </c:ext>
            </c:extLst>
          </c:dPt>
          <c:dPt>
            <c:idx val="2"/>
            <c:marker>
              <c:symbol val="none"/>
            </c:marker>
            <c:bubble3D val="0"/>
            <c:extLst>
              <c:ext xmlns:c16="http://schemas.microsoft.com/office/drawing/2014/chart" uri="{C3380CC4-5D6E-409C-BE32-E72D297353CC}">
                <c16:uniqueId val="{0000000F-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10-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F-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ANALYSIS'!$S$154:$S$156</c:f>
              <c:numCache>
                <c:formatCode>0.0</c:formatCode>
                <c:ptCount val="3"/>
                <c:pt idx="0">
                  <c:v>0</c:v>
                </c:pt>
                <c:pt idx="1">
                  <c:v>0</c:v>
                </c:pt>
                <c:pt idx="2">
                  <c:v>0</c:v>
                </c:pt>
              </c:numCache>
            </c:numRef>
          </c:xVal>
          <c:yVal>
            <c:numRef>
              <c:f>'3.2 TAT ANALYSIS'!$S$157:$S$159</c:f>
              <c:numCache>
                <c:formatCode>0.0</c:formatCode>
                <c:ptCount val="3"/>
                <c:pt idx="0">
                  <c:v>-1</c:v>
                </c:pt>
                <c:pt idx="1">
                  <c:v>-1</c:v>
                </c:pt>
                <c:pt idx="2">
                  <c:v>-1</c:v>
                </c:pt>
              </c:numCache>
            </c:numRef>
          </c:yVal>
          <c:smooth val="0"/>
          <c:extLst>
            <c:ext xmlns:c16="http://schemas.microsoft.com/office/drawing/2014/chart" uri="{C3380CC4-5D6E-409C-BE32-E72D297353CC}">
              <c16:uniqueId val="{0000000B-6A08-40C6-B94E-92F6E92C8883}"/>
            </c:ext>
          </c:extLst>
        </c:ser>
        <c:ser>
          <c:idx val="3"/>
          <c:order val="5"/>
          <c:tx>
            <c:strRef>
              <c:f>'3.2 TAT ANALYSIS'!$T$131</c:f>
              <c:strCache>
                <c:ptCount val="1"/>
                <c:pt idx="0">
                  <c:v>Overall</c:v>
                </c:pt>
              </c:strCache>
            </c:strRef>
          </c:tx>
          <c:spPr>
            <a:ln w="254000" cap="flat">
              <a:solidFill>
                <a:schemeClr val="bg2"/>
              </a:solidFill>
              <a:round/>
            </a:ln>
            <a:effectLst/>
          </c:spPr>
          <c:marker>
            <c:symbol val="circle"/>
            <c:size val="25"/>
            <c:spPr>
              <a:solidFill>
                <a:schemeClr val="accent6"/>
              </a:solidFill>
              <a:ln w="9525">
                <a:noFill/>
              </a:ln>
              <a:effectLst/>
            </c:spPr>
          </c:marker>
          <c:dPt>
            <c:idx val="0"/>
            <c:marker>
              <c:symbol val="none"/>
            </c:marker>
            <c:bubble3D val="0"/>
            <c:extLst>
              <c:ext xmlns:c16="http://schemas.microsoft.com/office/drawing/2014/chart" uri="{C3380CC4-5D6E-409C-BE32-E72D297353CC}">
                <c16:uniqueId val="{00000009-6A08-40C6-B94E-92F6E92C8883}"/>
              </c:ext>
            </c:extLst>
          </c:dPt>
          <c:dPt>
            <c:idx val="1"/>
            <c:marker>
              <c:symbol val="circle"/>
              <c:size val="20"/>
              <c:spPr>
                <a:solidFill>
                  <a:schemeClr val="accent6"/>
                </a:solidFill>
                <a:ln w="9525">
                  <a:noFill/>
                </a:ln>
                <a:effectLst/>
              </c:spPr>
            </c:marker>
            <c:bubble3D val="0"/>
            <c:extLst>
              <c:ext xmlns:c16="http://schemas.microsoft.com/office/drawing/2014/chart" uri="{C3380CC4-5D6E-409C-BE32-E72D297353CC}">
                <c16:uniqueId val="{00000011-6A08-40C6-B94E-92F6E92C8883}"/>
              </c:ext>
            </c:extLst>
          </c:dPt>
          <c:dPt>
            <c:idx val="2"/>
            <c:marker>
              <c:symbol val="none"/>
            </c:marker>
            <c:bubble3D val="0"/>
            <c:extLst>
              <c:ext xmlns:c16="http://schemas.microsoft.com/office/drawing/2014/chart" uri="{C3380CC4-5D6E-409C-BE32-E72D297353CC}">
                <c16:uniqueId val="{00000008-6A08-40C6-B94E-92F6E92C8883}"/>
              </c:ext>
            </c:extLst>
          </c:dPt>
          <c:dLbls>
            <c:dLbl>
              <c:idx val="0"/>
              <c:delete val="1"/>
              <c:extLst>
                <c:ext xmlns:c15="http://schemas.microsoft.com/office/drawing/2012/chart" uri="{CE6537A1-D6FC-4f65-9D91-7224C49458BB}"/>
                <c:ext xmlns:c16="http://schemas.microsoft.com/office/drawing/2014/chart" uri="{C3380CC4-5D6E-409C-BE32-E72D297353CC}">
                  <c16:uniqueId val="{00000009-6A08-40C6-B94E-92F6E92C8883}"/>
                </c:ext>
              </c:extLst>
            </c:dLbl>
            <c:dLbl>
              <c:idx val="2"/>
              <c:delete val="1"/>
              <c:extLst>
                <c:ext xmlns:c15="http://schemas.microsoft.com/office/drawing/2012/chart" uri="{CE6537A1-D6FC-4f65-9D91-7224C49458BB}"/>
                <c:ext xmlns:c16="http://schemas.microsoft.com/office/drawing/2014/chart" uri="{C3380CC4-5D6E-409C-BE32-E72D297353CC}">
                  <c16:uniqueId val="{00000008-6A08-40C6-B94E-92F6E92C888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ANALYSIS'!$T$154:$T$156</c:f>
              <c:numCache>
                <c:formatCode>0.0</c:formatCode>
                <c:ptCount val="3"/>
                <c:pt idx="0">
                  <c:v>0</c:v>
                </c:pt>
                <c:pt idx="1">
                  <c:v>0</c:v>
                </c:pt>
                <c:pt idx="2">
                  <c:v>0</c:v>
                </c:pt>
              </c:numCache>
            </c:numRef>
          </c:xVal>
          <c:yVal>
            <c:numRef>
              <c:f>'3.2 TAT ANALYSIS'!$T$157:$T$159</c:f>
              <c:numCache>
                <c:formatCode>0.0</c:formatCode>
                <c:ptCount val="3"/>
                <c:pt idx="0">
                  <c:v>0.5</c:v>
                </c:pt>
                <c:pt idx="1">
                  <c:v>0.5</c:v>
                </c:pt>
                <c:pt idx="2">
                  <c:v>0.5</c:v>
                </c:pt>
              </c:numCache>
            </c:numRef>
          </c:yVal>
          <c:smooth val="0"/>
          <c:extLst>
            <c:ext xmlns:c16="http://schemas.microsoft.com/office/drawing/2014/chart" uri="{C3380CC4-5D6E-409C-BE32-E72D297353CC}">
              <c16:uniqueId val="{0000000C-1F7F-4CBB-BD5D-B308B888A5EB}"/>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Turnaround</a:t>
            </a:r>
            <a:r>
              <a:rPr lang="en-US" baseline="0"/>
              <a:t> Time in Days: TPT Initiation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'3.2 TAT ANALYSIS'!$O$162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1-D5F3-4AA4-88EF-90D441CDF888}"/>
              </c:ext>
            </c:extLst>
          </c:dPt>
          <c:dPt>
            <c:idx val="2"/>
            <c:marker>
              <c:symbol val="none"/>
            </c:marker>
            <c:bubble3D val="0"/>
            <c:extLst>
              <c:ext xmlns:c16="http://schemas.microsoft.com/office/drawing/2014/chart" uri="{C3380CC4-5D6E-409C-BE32-E72D297353CC}">
                <c16:uniqueId val="{00000000-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1-D5F3-4AA4-88EF-90D441CDF888}"/>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0-D5F3-4AA4-88EF-90D441CDF8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ANALYSIS'!$O$185:$O$187</c:f>
              <c:numCache>
                <c:formatCode>0.0</c:formatCode>
                <c:ptCount val="3"/>
                <c:pt idx="0">
                  <c:v>0</c:v>
                </c:pt>
                <c:pt idx="1">
                  <c:v>0</c:v>
                </c:pt>
                <c:pt idx="2">
                  <c:v>0</c:v>
                </c:pt>
              </c:numCache>
            </c:numRef>
          </c:xVal>
          <c:yVal>
            <c:numRef>
              <c:f>'3.2 TAT ANALYSIS'!$O$188:$O$190</c:f>
              <c:numCache>
                <c:formatCode>0.0</c:formatCode>
                <c:ptCount val="3"/>
                <c:pt idx="0">
                  <c:v>-1</c:v>
                </c:pt>
                <c:pt idx="1">
                  <c:v>-1</c:v>
                </c:pt>
                <c:pt idx="2">
                  <c:v>-1</c:v>
                </c:pt>
              </c:numCache>
            </c:numRef>
          </c:yVal>
          <c:smooth val="0"/>
          <c:extLst>
            <c:ext xmlns:c16="http://schemas.microsoft.com/office/drawing/2014/chart" uri="{C3380CC4-5D6E-409C-BE32-E72D297353CC}">
              <c16:uniqueId val="{00000003-46E0-495C-958E-6D9B0C04DC4F}"/>
            </c:ext>
          </c:extLst>
        </c:ser>
        <c:ser>
          <c:idx val="1"/>
          <c:order val="1"/>
          <c:tx>
            <c:strRef>
              <c:f>'3.2 TAT ANALYSIS'!$P$162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4-D5F3-4AA4-88EF-90D441CDF888}"/>
              </c:ext>
            </c:extLst>
          </c:dPt>
          <c:dPt>
            <c:idx val="2"/>
            <c:marker>
              <c:symbol val="none"/>
            </c:marker>
            <c:bubble3D val="0"/>
            <c:extLst>
              <c:ext xmlns:c16="http://schemas.microsoft.com/office/drawing/2014/chart" uri="{C3380CC4-5D6E-409C-BE32-E72D297353CC}">
                <c16:uniqueId val="{00000003-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4-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3-D5F3-4AA4-88EF-90D441CDF88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ANALYSIS'!$P$185:$P$187</c:f>
              <c:numCache>
                <c:formatCode>0.0</c:formatCode>
                <c:ptCount val="3"/>
                <c:pt idx="0">
                  <c:v>0</c:v>
                </c:pt>
                <c:pt idx="1">
                  <c:v>0</c:v>
                </c:pt>
                <c:pt idx="2">
                  <c:v>0</c:v>
                </c:pt>
              </c:numCache>
            </c:numRef>
          </c:xVal>
          <c:yVal>
            <c:numRef>
              <c:f>'3.2 TAT ANALYSIS'!$P$188:$P$190</c:f>
              <c:numCache>
                <c:formatCode>0.0</c:formatCode>
                <c:ptCount val="3"/>
                <c:pt idx="0">
                  <c:v>-1</c:v>
                </c:pt>
                <c:pt idx="1">
                  <c:v>-1</c:v>
                </c:pt>
                <c:pt idx="2">
                  <c:v>-1</c:v>
                </c:pt>
              </c:numCache>
            </c:numRef>
          </c:yVal>
          <c:smooth val="0"/>
          <c:extLst>
            <c:ext xmlns:c16="http://schemas.microsoft.com/office/drawing/2014/chart" uri="{C3380CC4-5D6E-409C-BE32-E72D297353CC}">
              <c16:uniqueId val="{00000007-46E0-495C-958E-6D9B0C04DC4F}"/>
            </c:ext>
          </c:extLst>
        </c:ser>
        <c:ser>
          <c:idx val="2"/>
          <c:order val="2"/>
          <c:tx>
            <c:strRef>
              <c:f>'3.2 TAT ANALYSIS'!$Q$162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6-D5F3-4AA4-88EF-90D441CDF888}"/>
              </c:ext>
            </c:extLst>
          </c:dPt>
          <c:dPt>
            <c:idx val="2"/>
            <c:marker>
              <c:symbol val="none"/>
            </c:marker>
            <c:bubble3D val="0"/>
            <c:extLst>
              <c:ext xmlns:c16="http://schemas.microsoft.com/office/drawing/2014/chart" uri="{C3380CC4-5D6E-409C-BE32-E72D297353CC}">
                <c16:uniqueId val="{00000005-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6-D5F3-4AA4-88EF-90D441CDF888}"/>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5-D5F3-4AA4-88EF-90D441CDF88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ANALYSIS'!$Q$185:$Q$187</c:f>
              <c:numCache>
                <c:formatCode>0.0</c:formatCode>
                <c:ptCount val="3"/>
                <c:pt idx="0">
                  <c:v>0</c:v>
                </c:pt>
                <c:pt idx="1">
                  <c:v>0</c:v>
                </c:pt>
                <c:pt idx="2">
                  <c:v>0</c:v>
                </c:pt>
              </c:numCache>
            </c:numRef>
          </c:xVal>
          <c:yVal>
            <c:numRef>
              <c:f>'3.2 TAT ANALYSIS'!$Q$188:$Q$190</c:f>
              <c:numCache>
                <c:formatCode>0.0</c:formatCode>
                <c:ptCount val="3"/>
                <c:pt idx="0">
                  <c:v>-1</c:v>
                </c:pt>
                <c:pt idx="1">
                  <c:v>-1</c:v>
                </c:pt>
                <c:pt idx="2">
                  <c:v>-1</c:v>
                </c:pt>
              </c:numCache>
            </c:numRef>
          </c:yVal>
          <c:smooth val="0"/>
          <c:extLst>
            <c:ext xmlns:c16="http://schemas.microsoft.com/office/drawing/2014/chart" uri="{C3380CC4-5D6E-409C-BE32-E72D297353CC}">
              <c16:uniqueId val="{0000000B-46E0-495C-958E-6D9B0C04DC4F}"/>
            </c:ext>
          </c:extLst>
        </c:ser>
        <c:ser>
          <c:idx val="4"/>
          <c:order val="3"/>
          <c:tx>
            <c:strRef>
              <c:f>'3.2 TAT ANALYSIS'!$R$162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B-BF63-4AC8-99E8-08254F73D15B}"/>
              </c:ext>
            </c:extLst>
          </c:dPt>
          <c:dPt>
            <c:idx val="2"/>
            <c:marker>
              <c:symbol val="none"/>
            </c:marker>
            <c:bubble3D val="0"/>
            <c:extLst>
              <c:ext xmlns:c16="http://schemas.microsoft.com/office/drawing/2014/chart" uri="{C3380CC4-5D6E-409C-BE32-E72D297353CC}">
                <c16:uniqueId val="{0000000A-BF63-4AC8-99E8-08254F73D15B}"/>
              </c:ext>
            </c:extLst>
          </c:dPt>
          <c:dLbls>
            <c:dLbl>
              <c:idx val="0"/>
              <c:delete val="1"/>
              <c:extLst>
                <c:ext xmlns:c15="http://schemas.microsoft.com/office/drawing/2012/chart" uri="{CE6537A1-D6FC-4f65-9D91-7224C49458BB}"/>
                <c:ext xmlns:c16="http://schemas.microsoft.com/office/drawing/2014/chart" uri="{C3380CC4-5D6E-409C-BE32-E72D297353CC}">
                  <c16:uniqueId val="{0000000B-BF63-4AC8-99E8-08254F73D15B}"/>
                </c:ext>
              </c:extLst>
            </c:dLbl>
            <c:dLbl>
              <c:idx val="2"/>
              <c:delete val="1"/>
              <c:extLst>
                <c:ext xmlns:c15="http://schemas.microsoft.com/office/drawing/2012/chart" uri="{CE6537A1-D6FC-4f65-9D91-7224C49458BB}"/>
                <c:ext xmlns:c16="http://schemas.microsoft.com/office/drawing/2014/chart" uri="{C3380CC4-5D6E-409C-BE32-E72D297353CC}">
                  <c16:uniqueId val="{0000000A-BF63-4AC8-99E8-08254F73D15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ANALYSIS'!$R$185:$R$187</c:f>
              <c:numCache>
                <c:formatCode>0.0</c:formatCode>
                <c:ptCount val="3"/>
                <c:pt idx="0">
                  <c:v>0</c:v>
                </c:pt>
                <c:pt idx="1">
                  <c:v>0</c:v>
                </c:pt>
                <c:pt idx="2">
                  <c:v>0</c:v>
                </c:pt>
              </c:numCache>
            </c:numRef>
          </c:xVal>
          <c:yVal>
            <c:numRef>
              <c:f>'3.2 TAT ANALYSIS'!$R$188:$R$190</c:f>
              <c:numCache>
                <c:formatCode>0.0</c:formatCode>
                <c:ptCount val="3"/>
                <c:pt idx="0">
                  <c:v>-1</c:v>
                </c:pt>
                <c:pt idx="1">
                  <c:v>-1</c:v>
                </c:pt>
                <c:pt idx="2">
                  <c:v>-1</c:v>
                </c:pt>
              </c:numCache>
            </c:numRef>
          </c:yVal>
          <c:smooth val="0"/>
          <c:extLst>
            <c:ext xmlns:c16="http://schemas.microsoft.com/office/drawing/2014/chart" uri="{C3380CC4-5D6E-409C-BE32-E72D297353CC}">
              <c16:uniqueId val="{00000008-BF63-4AC8-99E8-08254F73D15B}"/>
            </c:ext>
          </c:extLst>
        </c:ser>
        <c:ser>
          <c:idx val="5"/>
          <c:order val="4"/>
          <c:tx>
            <c:strRef>
              <c:f>'3.2 TAT ANALYSIS'!$S$162</c:f>
              <c:strCache>
                <c:ptCount val="1"/>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D-BF63-4AC8-99E8-08254F73D15B}"/>
              </c:ext>
            </c:extLst>
          </c:dPt>
          <c:dPt>
            <c:idx val="2"/>
            <c:marker>
              <c:symbol val="none"/>
            </c:marker>
            <c:bubble3D val="0"/>
            <c:extLst>
              <c:ext xmlns:c16="http://schemas.microsoft.com/office/drawing/2014/chart" uri="{C3380CC4-5D6E-409C-BE32-E72D297353CC}">
                <c16:uniqueId val="{0000000C-BF63-4AC8-99E8-08254F73D15B}"/>
              </c:ext>
            </c:extLst>
          </c:dPt>
          <c:dLbls>
            <c:dLbl>
              <c:idx val="0"/>
              <c:delete val="1"/>
              <c:extLst>
                <c:ext xmlns:c15="http://schemas.microsoft.com/office/drawing/2012/chart" uri="{CE6537A1-D6FC-4f65-9D91-7224C49458BB}"/>
                <c:ext xmlns:c16="http://schemas.microsoft.com/office/drawing/2014/chart" uri="{C3380CC4-5D6E-409C-BE32-E72D297353CC}">
                  <c16:uniqueId val="{0000000D-BF63-4AC8-99E8-08254F73D15B}"/>
                </c:ext>
              </c:extLst>
            </c:dLbl>
            <c:dLbl>
              <c:idx val="2"/>
              <c:delete val="1"/>
              <c:extLst>
                <c:ext xmlns:c15="http://schemas.microsoft.com/office/drawing/2012/chart" uri="{CE6537A1-D6FC-4f65-9D91-7224C49458BB}"/>
                <c:ext xmlns:c16="http://schemas.microsoft.com/office/drawing/2014/chart" uri="{C3380CC4-5D6E-409C-BE32-E72D297353CC}">
                  <c16:uniqueId val="{0000000C-BF63-4AC8-99E8-08254F73D15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ANALYSIS'!$S$185:$S$187</c:f>
              <c:numCache>
                <c:formatCode>0.0</c:formatCode>
                <c:ptCount val="3"/>
                <c:pt idx="0">
                  <c:v>0</c:v>
                </c:pt>
                <c:pt idx="1">
                  <c:v>0</c:v>
                </c:pt>
                <c:pt idx="2">
                  <c:v>0</c:v>
                </c:pt>
              </c:numCache>
            </c:numRef>
          </c:xVal>
          <c:yVal>
            <c:numRef>
              <c:f>'3.2 TAT ANALYSIS'!$S$188:$S$190</c:f>
              <c:numCache>
                <c:formatCode>0.0</c:formatCode>
                <c:ptCount val="3"/>
                <c:pt idx="0">
                  <c:v>-1</c:v>
                </c:pt>
                <c:pt idx="1">
                  <c:v>-1</c:v>
                </c:pt>
                <c:pt idx="2">
                  <c:v>-1</c:v>
                </c:pt>
              </c:numCache>
            </c:numRef>
          </c:yVal>
          <c:smooth val="0"/>
          <c:extLst>
            <c:ext xmlns:c16="http://schemas.microsoft.com/office/drawing/2014/chart" uri="{C3380CC4-5D6E-409C-BE32-E72D297353CC}">
              <c16:uniqueId val="{00000009-BF63-4AC8-99E8-08254F73D15B}"/>
            </c:ext>
          </c:extLst>
        </c:ser>
        <c:ser>
          <c:idx val="3"/>
          <c:order val="5"/>
          <c:tx>
            <c:strRef>
              <c:f>'3.2 TAT ANALYSIS'!$T$162</c:f>
              <c:strCache>
                <c:ptCount val="1"/>
                <c:pt idx="0">
                  <c:v>Overall</c:v>
                </c:pt>
              </c:strCache>
            </c:strRef>
          </c:tx>
          <c:spPr>
            <a:ln w="254000" cap="flat">
              <a:solidFill>
                <a:schemeClr val="bg2"/>
              </a:solidFill>
              <a:round/>
            </a:ln>
            <a:effectLst/>
          </c:spPr>
          <c:marker>
            <c:symbol val="circle"/>
            <c:size val="20"/>
            <c:spPr>
              <a:solidFill>
                <a:schemeClr val="accent4"/>
              </a:solidFill>
              <a:ln w="9525">
                <a:noFill/>
              </a:ln>
              <a:effectLst/>
            </c:spPr>
          </c:marker>
          <c:dPt>
            <c:idx val="0"/>
            <c:marker>
              <c:symbol val="none"/>
            </c:marker>
            <c:bubble3D val="0"/>
            <c:extLst>
              <c:ext xmlns:c16="http://schemas.microsoft.com/office/drawing/2014/chart" uri="{C3380CC4-5D6E-409C-BE32-E72D297353CC}">
                <c16:uniqueId val="{00000009-D5F3-4AA4-88EF-90D441CDF888}"/>
              </c:ext>
            </c:extLst>
          </c:dPt>
          <c:dPt>
            <c:idx val="2"/>
            <c:marker>
              <c:symbol val="none"/>
            </c:marker>
            <c:bubble3D val="0"/>
            <c:extLst>
              <c:ext xmlns:c16="http://schemas.microsoft.com/office/drawing/2014/chart" uri="{C3380CC4-5D6E-409C-BE32-E72D297353CC}">
                <c16:uniqueId val="{00000008-D5F3-4AA4-88EF-90D441CDF888}"/>
              </c:ext>
            </c:extLst>
          </c:dPt>
          <c:dLbls>
            <c:dLbl>
              <c:idx val="0"/>
              <c:delete val="1"/>
              <c:extLst>
                <c:ext xmlns:c15="http://schemas.microsoft.com/office/drawing/2012/chart" uri="{CE6537A1-D6FC-4f65-9D91-7224C49458BB}"/>
                <c:ext xmlns:c16="http://schemas.microsoft.com/office/drawing/2014/chart" uri="{C3380CC4-5D6E-409C-BE32-E72D297353CC}">
                  <c16:uniqueId val="{00000009-D5F3-4AA4-88EF-90D441CDF888}"/>
                </c:ext>
              </c:extLst>
            </c:dLbl>
            <c:dLbl>
              <c:idx val="1"/>
              <c:dLblPos val="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0A-D5F3-4AA4-88EF-90D441CDF888}"/>
                </c:ext>
              </c:extLst>
            </c:dLbl>
            <c:dLbl>
              <c:idx val="2"/>
              <c:delete val="1"/>
              <c:extLst>
                <c:ext xmlns:c15="http://schemas.microsoft.com/office/drawing/2012/chart" uri="{CE6537A1-D6FC-4f65-9D91-7224C49458BB}"/>
                <c:ext xmlns:c16="http://schemas.microsoft.com/office/drawing/2014/chart" uri="{C3380CC4-5D6E-409C-BE32-E72D297353CC}">
                  <c16:uniqueId val="{00000008-D5F3-4AA4-88EF-90D441CDF88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'3.2 TAT ANALYSIS'!$T$185:$T$187</c:f>
              <c:numCache>
                <c:formatCode>0.0</c:formatCode>
                <c:ptCount val="3"/>
                <c:pt idx="0">
                  <c:v>0</c:v>
                </c:pt>
                <c:pt idx="1">
                  <c:v>0</c:v>
                </c:pt>
                <c:pt idx="2">
                  <c:v>0</c:v>
                </c:pt>
              </c:numCache>
            </c:numRef>
          </c:xVal>
          <c:yVal>
            <c:numRef>
              <c:f>'3.2 TAT ANALYSIS'!$T$188:$T$190</c:f>
              <c:numCache>
                <c:formatCode>0.0</c:formatCode>
                <c:ptCount val="3"/>
                <c:pt idx="0">
                  <c:v>0.5</c:v>
                </c:pt>
                <c:pt idx="1">
                  <c:v>0.5</c:v>
                </c:pt>
                <c:pt idx="2">
                  <c:v>0.5</c:v>
                </c:pt>
              </c:numCache>
            </c:numRef>
          </c:yVal>
          <c:smooth val="0"/>
          <c:extLst>
            <c:ext xmlns:c16="http://schemas.microsoft.com/office/drawing/2014/chart" uri="{C3380CC4-5D6E-409C-BE32-E72D297353CC}">
              <c16:uniqueId val="{0000000F-46E0-495C-958E-6D9B0C04DC4F}"/>
            </c:ext>
          </c:extLst>
        </c:ser>
        <c:dLbls>
          <c:dLblPos val="t"/>
          <c:showLegendKey val="0"/>
          <c:showVal val="1"/>
          <c:showCatName val="0"/>
          <c:showSerName val="0"/>
          <c:showPercent val="0"/>
          <c:showBubbleSize val="0"/>
        </c:dLbls>
        <c:axId val="2006856671"/>
        <c:axId val="1719232991"/>
      </c:scatterChart>
      <c:valAx>
        <c:axId val="2006856671"/>
        <c:scaling>
          <c:orientation val="minMax"/>
        </c:scaling>
        <c:delete val="0"/>
        <c:axPos val="b"/>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719232991"/>
        <c:crosses val="autoZero"/>
        <c:crossBetween val="midCat"/>
      </c:valAx>
      <c:valAx>
        <c:axId val="1719232991"/>
        <c:scaling>
          <c:orientation val="minMax"/>
          <c:max val="3.5"/>
          <c:min val="-1"/>
        </c:scaling>
        <c:delete val="1"/>
        <c:axPos val="l"/>
        <c:numFmt formatCode="0.0" sourceLinked="1"/>
        <c:majorTickMark val="out"/>
        <c:minorTickMark val="none"/>
        <c:tickLblPos val="nextTo"/>
        <c:crossAx val="2006856671"/>
        <c:crosses val="autoZero"/>
        <c:crossBetween val="midCat"/>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'4.3 TABLE SUMMARIES'!$C$24</c:f>
              <c:strCache>
                <c:ptCount val="1"/>
                <c:pt idx="0">
                  <c:v>Positive</c:v>
                </c:pt>
              </c:strCache>
            </c:strRef>
          </c:tx>
          <c:spPr>
            <a:solidFill>
              <a:schemeClr val="accent6">
                <a:lumMod val="75000"/>
              </a:schemeClr>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SUMMARIES'!$D$24:$I$24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5A5-4DD0-8DCF-CC1B5941BC27}"/>
            </c:ext>
          </c:extLst>
        </c:ser>
        <c:ser>
          <c:idx val="1"/>
          <c:order val="1"/>
          <c:tx>
            <c:strRef>
              <c:f>'4.3 TABLE SUMMARIES'!$C$25</c:f>
              <c:strCache>
                <c:ptCount val="1"/>
                <c:pt idx="0">
                  <c:v>Negative</c:v>
                </c:pt>
              </c:strCache>
            </c:strRef>
          </c:tx>
          <c:spPr>
            <a:solidFill>
              <a:schemeClr val="accent6">
                <a:lumMod val="60000"/>
                <a:lumOff val="40000"/>
              </a:schemeClr>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SUMMARIES'!$D$25:$I$25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5A5-4DD0-8DCF-CC1B5941BC27}"/>
            </c:ext>
          </c:extLst>
        </c:ser>
        <c:ser>
          <c:idx val="2"/>
          <c:order val="2"/>
          <c:tx>
            <c:strRef>
              <c:f>'4.3 TABLE SUMMARIES'!$C$27</c:f>
              <c:strCache>
                <c:ptCount val="1"/>
                <c:pt idx="0">
                  <c:v>Not Tested</c:v>
                </c:pt>
              </c:strCache>
            </c:strRef>
          </c:tx>
          <c:spPr>
            <a:solidFill>
              <a:schemeClr val="bg2">
                <a:lumMod val="90000"/>
              </a:schemeClr>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'4.3 TABLE SUMMARIES'!$D$27:$I$27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5A5-4DD0-8DCF-CC1B5941BC27}"/>
            </c:ext>
          </c:extLst>
        </c:ser>
        <c:dLbls>
          <c:dLblPos val="outEnd"/>
          <c:showLegendKey val="0"/>
          <c:showVal val="1"/>
          <c:showCatName val="0"/>
          <c:showSerName val="0"/>
          <c:showPercent val="0"/>
          <c:showBubbleSize val="0"/>
        </c:dLbls>
        <c:gapWidth val="50"/>
        <c:overlap val="-5"/>
        <c:axId val="1797475263"/>
        <c:axId val="896478304"/>
      </c:barChart>
      <c:catAx>
        <c:axId val="1797475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896478304"/>
        <c:crosses val="autoZero"/>
        <c:auto val="1"/>
        <c:lblAlgn val="ctr"/>
        <c:lblOffset val="100"/>
        <c:noMultiLvlLbl val="0"/>
      </c:catAx>
      <c:valAx>
        <c:axId val="896478304"/>
        <c:scaling>
          <c:orientation val="minMax"/>
        </c:scaling>
        <c:delete val="1"/>
        <c:axPos val="l"/>
        <c:numFmt formatCode="General" sourceLinked="1"/>
        <c:majorTickMark val="none"/>
        <c:minorTickMark val="none"/>
        <c:tickLblPos val="nextTo"/>
        <c:crossAx val="1797475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'4.3 TABLE SUMMARIES'!$C$7</c:f>
              <c:strCache>
                <c:ptCount val="1"/>
                <c:pt idx="0">
                  <c:v>Age (0 - 14)</c:v>
                </c:pt>
              </c:strCache>
            </c:strRef>
          </c:tx>
          <c:spPr>
            <a:solidFill>
              <a:srgbClr val="CC99FF"/>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SUMMARIES'!$D$7:$I$7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0BC-4C33-88F6-8C97C0385E03}"/>
            </c:ext>
          </c:extLst>
        </c:ser>
        <c:ser>
          <c:idx val="1"/>
          <c:order val="1"/>
          <c:tx>
            <c:strRef>
              <c:f>'4.3 TABLE SUMMARIES'!$C$8</c:f>
              <c:strCache>
                <c:ptCount val="1"/>
                <c:pt idx="0">
                  <c:v>Age (15+)</c:v>
                </c:pt>
              </c:strCache>
            </c:strRef>
          </c:tx>
          <c:spPr>
            <a:solidFill>
              <a:srgbClr val="7030A0"/>
            </a:solid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 TABLE SUMMARIES'!$D$4:$I$4</c:f>
              <c:strCache>
                <c:ptCount val="6"/>
                <c:pt idx="5">
                  <c:v>Overall</c:v>
                </c:pt>
              </c:strCache>
            </c:strRef>
          </c:cat>
          <c:val>
            <c:numRef>
              <c:f>'4.3 TABLE SUMMARIES'!$D$8:$I$8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0BC-4C33-88F6-8C97C0385E03}"/>
            </c:ext>
          </c:extLst>
        </c:ser>
        <c:dLbls>
          <c:dLblPos val="outEnd"/>
          <c:showLegendKey val="0"/>
          <c:showVal val="1"/>
          <c:showCatName val="0"/>
          <c:showSerName val="0"/>
          <c:showPercent val="0"/>
          <c:showBubbleSize val="0"/>
        </c:dLbls>
        <c:gapWidth val="50"/>
        <c:overlap val="-5"/>
        <c:axId val="306771583"/>
        <c:axId val="332594767"/>
      </c:barChart>
      <c:catAx>
        <c:axId val="30677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32594767"/>
        <c:crosses val="autoZero"/>
        <c:auto val="1"/>
        <c:lblAlgn val="ctr"/>
        <c:lblOffset val="100"/>
        <c:noMultiLvlLbl val="0"/>
      </c:catAx>
      <c:valAx>
        <c:axId val="332594767"/>
        <c:scaling>
          <c:orientation val="minMax"/>
        </c:scaling>
        <c:delete val="1"/>
        <c:axPos val="l"/>
        <c:numFmt formatCode="General" sourceLinked="1"/>
        <c:majorTickMark val="out"/>
        <c:minorTickMark val="none"/>
        <c:tickLblPos val="nextTo"/>
        <c:crossAx val="306771583"/>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Diagnosti</a:t>
            </a:r>
            <a:r>
              <a:rPr lang="en-US" b="1" baseline="0"/>
              <a:t>c Cascade</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'3.1 CASCADE ANALYSIS'!$AW$5</c:f>
              <c:strCache>
                <c:ptCount val="1"/>
                <c:pt idx="0">
                  <c:v>Proportion Documented</c:v>
                </c:pt>
              </c:strCache>
            </c:strRef>
          </c:tx>
          <c:spPr>
            <a:ln w="76200" cap="rnd">
              <a:noFill/>
              <a:round/>
            </a:ln>
            <a:effectLst/>
          </c:spPr>
          <c:marker>
            <c:symbol val="dash"/>
            <c:size val="30"/>
            <c:spPr>
              <a:solidFill>
                <a:schemeClr val="tx1">
                  <a:lumMod val="50000"/>
                  <a:lumOff val="50000"/>
                </a:schemeClr>
              </a:solidFill>
              <a:ln w="76200">
                <a:noFill/>
              </a:ln>
              <a:effectLst/>
            </c:spPr>
          </c:marker>
          <c:dPt>
            <c:idx val="1"/>
            <c:marker>
              <c:symbol val="dash"/>
              <c:size val="30"/>
              <c:spPr>
                <a:solidFill>
                  <a:schemeClr val="accent1">
                    <a:lumMod val="75000"/>
                  </a:schemeClr>
                </a:solidFill>
                <a:ln w="76200">
                  <a:noFill/>
                </a:ln>
                <a:effectLst/>
              </c:spPr>
            </c:marker>
            <c:bubble3D val="0"/>
            <c:extLst>
              <c:ext xmlns:c16="http://schemas.microsoft.com/office/drawing/2014/chart" uri="{C3380CC4-5D6E-409C-BE32-E72D297353CC}">
                <c16:uniqueId val="{00000000-26B8-444C-8C63-5F2468775FC1}"/>
              </c:ext>
            </c:extLst>
          </c:dPt>
          <c:dPt>
            <c:idx val="2"/>
            <c:marker>
              <c:symbol val="dash"/>
              <c:size val="30"/>
              <c:spPr>
                <a:solidFill>
                  <a:schemeClr val="accent4">
                    <a:lumMod val="75000"/>
                  </a:schemeClr>
                </a:solidFill>
                <a:ln w="76200">
                  <a:noFill/>
                </a:ln>
                <a:effectLst/>
              </c:spPr>
            </c:marker>
            <c:bubble3D val="0"/>
            <c:extLst>
              <c:ext xmlns:c16="http://schemas.microsoft.com/office/drawing/2014/chart" uri="{C3380CC4-5D6E-409C-BE32-E72D297353CC}">
                <c16:uniqueId val="{00000001-26B8-444C-8C63-5F2468775FC1}"/>
              </c:ext>
            </c:extLst>
          </c:dPt>
          <c:dPt>
            <c:idx val="3"/>
            <c:marker>
              <c:symbol val="dash"/>
              <c:size val="30"/>
              <c:spPr>
                <a:solidFill>
                  <a:srgbClr val="C00000"/>
                </a:solidFill>
                <a:ln w="76200">
                  <a:noFill/>
                </a:ln>
                <a:effectLst/>
              </c:spPr>
            </c:marker>
            <c:bubble3D val="0"/>
            <c:extLst>
              <c:ext xmlns:c16="http://schemas.microsoft.com/office/drawing/2014/chart" uri="{C3380CC4-5D6E-409C-BE32-E72D297353CC}">
                <c16:uniqueId val="{00000002-26B8-444C-8C63-5F2468775FC1}"/>
              </c:ext>
            </c:extLst>
          </c:dPt>
          <c:dPt>
            <c:idx val="4"/>
            <c:marker>
              <c:symbol val="dash"/>
              <c:size val="30"/>
              <c:spPr>
                <a:solidFill>
                  <a:srgbClr val="FF0000"/>
                </a:solidFill>
                <a:ln w="76200">
                  <a:noFill/>
                </a:ln>
                <a:effectLst/>
              </c:spPr>
            </c:marker>
            <c:bubble3D val="0"/>
            <c:extLst>
              <c:ext xmlns:c16="http://schemas.microsoft.com/office/drawing/2014/chart" uri="{C3380CC4-5D6E-409C-BE32-E72D297353CC}">
                <c16:uniqueId val="{00000003-26B8-444C-8C63-5F2468775FC1}"/>
              </c:ext>
            </c:extLst>
          </c:dPt>
          <c:dPt>
            <c:idx val="5"/>
            <c:marker>
              <c:symbol val="dash"/>
              <c:size val="30"/>
              <c:spPr>
                <a:solidFill>
                  <a:srgbClr val="7030A0"/>
                </a:solidFill>
                <a:ln w="76200">
                  <a:noFill/>
                </a:ln>
                <a:effectLst/>
              </c:spPr>
            </c:marker>
            <c:bubble3D val="0"/>
            <c:extLst>
              <c:ext xmlns:c16="http://schemas.microsoft.com/office/drawing/2014/chart" uri="{C3380CC4-5D6E-409C-BE32-E72D297353CC}">
                <c16:uniqueId val="{00000004-26B8-444C-8C63-5F2468775FC1}"/>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ANALYSIS'!$AW$6:$AW$11</c:f>
              <c:numCache>
                <c:formatCode>0%</c:formatCode>
                <c:ptCount val="6"/>
                <c:pt idx="1">
                  <c:v>0</c:v>
                </c:pt>
                <c:pt idx="2">
                  <c:v>0</c:v>
                </c:pt>
                <c:pt idx="3">
                  <c:v>0</c:v>
                </c:pt>
                <c:pt idx="4">
                  <c:v>0</c:v>
                </c:pt>
                <c:pt idx="5">
                  <c:v>0</c:v>
                </c:pt>
              </c:numCache>
            </c:numRef>
          </c:val>
          <c:smooth val="0"/>
          <c:extLst xmlns:c15="http://schemas.microsoft.com/office/drawing/2012/chart">
            <c:ext xmlns:c16="http://schemas.microsoft.com/office/drawing/2014/chart" uri="{C3380CC4-5D6E-409C-BE32-E72D297353CC}">
              <c16:uniqueId val="{00000000-613F-4B85-AACF-5AB2B661BF0D}"/>
            </c:ext>
          </c:extLst>
        </c:ser>
        <c:dLbls>
          <c:showLegendKey val="0"/>
          <c:showVal val="0"/>
          <c:showCatName val="0"/>
          <c:showSerName val="0"/>
          <c:showPercent val="0"/>
          <c:showBubbleSize val="0"/>
        </c:dLbls>
        <c:dropLines>
          <c:spPr>
            <a:ln w="44450" cap="flat" cmpd="sng" algn="ctr">
              <a:solidFill>
                <a:schemeClr val="tx1">
                  <a:lumMod val="50000"/>
                  <a:lumOff val="50000"/>
                </a:schemeClr>
              </a:solidFill>
              <a:round/>
            </a:ln>
            <a:effectLst/>
          </c:spPr>
        </c:dropLines>
        <c:marker val="1"/>
        <c:smooth val="0"/>
        <c:axId val="863007200"/>
        <c:axId val="939804688"/>
      </c:lineChart>
      <c:catAx>
        <c:axId val="86300720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939804688"/>
        <c:crosses val="autoZero"/>
        <c:auto val="1"/>
        <c:lblAlgn val="ctr"/>
        <c:lblOffset val="100"/>
        <c:noMultiLvlLbl val="0"/>
      </c:catAx>
      <c:valAx>
        <c:axId val="939804688"/>
        <c:scaling>
          <c:orientation val="minMax"/>
          <c:max val="1.2"/>
          <c:min val="0"/>
        </c:scaling>
        <c:delete val="0"/>
        <c:axPos val="l"/>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863007200"/>
        <c:crosses val="autoZero"/>
        <c:crossBetween val="between"/>
        <c:majorUnit val="1"/>
        <c:minorUnit val="1"/>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'3.1 CASCADE ANALYSIS'!$AB$5</c:f>
              <c:strCache>
                <c:ptCount val="1"/>
              </c:strCache>
            </c:strRef>
          </c:tx>
          <c:spPr>
            <a:solidFill>
              <a:schemeClr val="accent5">
                <a:lumMod val="5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ANALYSIS'!$AB$6:$AB$11</c:f>
              <c:numCache>
                <c:formatCode>General</c:formatCode>
                <c:ptCount val="6"/>
                <c:pt idx="0">
                  <c:v>0</c:v>
                </c:pt>
              </c:numCache>
            </c:numRef>
          </c:val>
          <c:extLst xmlns:c15="http://schemas.microsoft.com/office/drawing/2012/chart">
            <c:ext xmlns:c16="http://schemas.microsoft.com/office/drawing/2014/chart" uri="{C3380CC4-5D6E-409C-BE32-E72D297353CC}">
              <c16:uniqueId val="{00000010-8D32-4DAA-9F43-68EB608677BC}"/>
            </c:ext>
          </c:extLst>
        </c:ser>
        <c:ser>
          <c:idx val="1"/>
          <c:order val="1"/>
          <c:tx>
            <c:strRef>
              <c:f>'3.1 CASCADE ANALYSIS'!$AC$5</c:f>
              <c:strCache>
                <c:ptCount val="1"/>
              </c:strCache>
            </c:strRef>
          </c:tx>
          <c:spPr>
            <a:solidFill>
              <a:schemeClr val="accent5">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ANALYSIS'!$AC$6:$AC$11</c:f>
              <c:numCache>
                <c:formatCode>General</c:formatCode>
                <c:ptCount val="6"/>
                <c:pt idx="0">
                  <c:v>0</c:v>
                </c:pt>
              </c:numCache>
            </c:numRef>
          </c:val>
          <c:extLst>
            <c:ext xmlns:c16="http://schemas.microsoft.com/office/drawing/2014/chart" uri="{C3380CC4-5D6E-409C-BE32-E72D297353CC}">
              <c16:uniqueId val="{00000000-47DC-4ABA-9C9C-25E97FAB4528}"/>
            </c:ext>
          </c:extLst>
        </c:ser>
        <c:ser>
          <c:idx val="2"/>
          <c:order val="2"/>
          <c:tx>
            <c:strRef>
              <c:f>'3.1 CASCADE ANALYSIS'!$AD$5</c:f>
              <c:strCache>
                <c:ptCount val="1"/>
              </c:strCache>
            </c:strRef>
          </c:tx>
          <c:spPr>
            <a:solidFill>
              <a:schemeClr val="accent5"/>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ANALYSIS'!$AD$6:$AD$11</c:f>
              <c:numCache>
                <c:formatCode>General</c:formatCode>
                <c:ptCount val="6"/>
                <c:pt idx="0">
                  <c:v>0</c:v>
                </c:pt>
              </c:numCache>
            </c:numRef>
          </c:val>
          <c:extLst>
            <c:ext xmlns:c16="http://schemas.microsoft.com/office/drawing/2014/chart" uri="{C3380CC4-5D6E-409C-BE32-E72D297353CC}">
              <c16:uniqueId val="{00000001-47DC-4ABA-9C9C-25E97FAB4528}"/>
            </c:ext>
          </c:extLst>
        </c:ser>
        <c:ser>
          <c:idx val="3"/>
          <c:order val="3"/>
          <c:tx>
            <c:strRef>
              <c:f>'3.1 CASCADE ANALYSIS'!$AE$5</c:f>
              <c:strCache>
                <c:ptCount val="1"/>
              </c:strCache>
            </c:strRef>
          </c:tx>
          <c:spPr>
            <a:solidFill>
              <a:schemeClr val="accent5">
                <a:lumMod val="60000"/>
                <a:lumOff val="4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ANALYSIS'!$AE$6:$AE$11</c:f>
              <c:numCache>
                <c:formatCode>General</c:formatCode>
                <c:ptCount val="6"/>
                <c:pt idx="0">
                  <c:v>0</c:v>
                </c:pt>
              </c:numCache>
            </c:numRef>
          </c:val>
          <c:extLst>
            <c:ext xmlns:c16="http://schemas.microsoft.com/office/drawing/2014/chart" uri="{C3380CC4-5D6E-409C-BE32-E72D297353CC}">
              <c16:uniqueId val="{00000002-47DC-4ABA-9C9C-25E97FAB4528}"/>
            </c:ext>
          </c:extLst>
        </c:ser>
        <c:ser>
          <c:idx val="4"/>
          <c:order val="4"/>
          <c:tx>
            <c:strRef>
              <c:f>'3.1 CASCADE ANALYSIS'!$AF$5</c:f>
              <c:strCache>
                <c:ptCount val="1"/>
              </c:strCache>
            </c:strRef>
          </c:tx>
          <c:spPr>
            <a:solidFill>
              <a:schemeClr val="accent5">
                <a:lumMod val="40000"/>
                <a:lumOff val="6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ANALYSIS'!$AF$6:$AF$11</c:f>
              <c:numCache>
                <c:formatCode>General</c:formatCode>
                <c:ptCount val="6"/>
                <c:pt idx="0">
                  <c:v>0</c:v>
                </c:pt>
              </c:numCache>
            </c:numRef>
          </c:val>
          <c:extLst>
            <c:ext xmlns:c16="http://schemas.microsoft.com/office/drawing/2014/chart" uri="{C3380CC4-5D6E-409C-BE32-E72D297353CC}">
              <c16:uniqueId val="{00000003-47DC-4ABA-9C9C-25E97FAB4528}"/>
            </c:ext>
          </c:extLst>
        </c:ser>
        <c:ser>
          <c:idx val="5"/>
          <c:order val="5"/>
          <c:tx>
            <c:strRef>
              <c:f>'3.1 CASCADE ANALYSIS'!$AG$5</c:f>
              <c:strCache>
                <c:ptCount val="1"/>
                <c:pt idx="0">
                  <c:v>Specimen Collected</c:v>
                </c:pt>
              </c:strCache>
            </c:strRef>
          </c:tx>
          <c:spPr>
            <a:solidFill>
              <a:schemeClr val="accent1">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ANALYSIS'!$AG$6:$AG$11</c:f>
              <c:numCache>
                <c:formatCode>General</c:formatCode>
                <c:ptCount val="6"/>
                <c:pt idx="1">
                  <c:v>0</c:v>
                </c:pt>
              </c:numCache>
            </c:numRef>
          </c:val>
          <c:extLst>
            <c:ext xmlns:c16="http://schemas.microsoft.com/office/drawing/2014/chart" uri="{C3380CC4-5D6E-409C-BE32-E72D297353CC}">
              <c16:uniqueId val="{00000004-47DC-4ABA-9C9C-25E97FAB4528}"/>
            </c:ext>
          </c:extLst>
        </c:ser>
        <c:ser>
          <c:idx val="6"/>
          <c:order val="6"/>
          <c:tx>
            <c:strRef>
              <c:f>'3.1 CASCADE ANALYSIS'!$AH$5</c:f>
              <c:strCache>
                <c:ptCount val="1"/>
                <c:pt idx="0">
                  <c:v>Unable to Produce</c:v>
                </c:pt>
              </c:strCache>
            </c:strRef>
          </c:tx>
          <c:spPr>
            <a:solidFill>
              <a:schemeClr val="accent1"/>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ANALYSIS'!$AH$6:$AH$11</c:f>
              <c:numCache>
                <c:formatCode>General</c:formatCode>
                <c:ptCount val="6"/>
                <c:pt idx="1">
                  <c:v>0</c:v>
                </c:pt>
              </c:numCache>
            </c:numRef>
          </c:val>
          <c:extLst>
            <c:ext xmlns:c16="http://schemas.microsoft.com/office/drawing/2014/chart" uri="{C3380CC4-5D6E-409C-BE32-E72D297353CC}">
              <c16:uniqueId val="{00000005-47DC-4ABA-9C9C-25E97FAB4528}"/>
            </c:ext>
          </c:extLst>
        </c:ser>
        <c:ser>
          <c:idx val="7"/>
          <c:order val="7"/>
          <c:tx>
            <c:strRef>
              <c:f>'3.1 CASCADE ANALYSIS'!$AI$5</c:f>
              <c:strCache>
                <c:ptCount val="1"/>
                <c:pt idx="0">
                  <c:v>Sputum</c:v>
                </c:pt>
              </c:strCache>
            </c:strRef>
          </c:tx>
          <c:spPr>
            <a:solidFill>
              <a:schemeClr val="accent4">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ANALYSIS'!$AI$6:$AI$11</c:f>
              <c:numCache>
                <c:formatCode>General</c:formatCode>
                <c:ptCount val="6"/>
                <c:pt idx="2">
                  <c:v>0</c:v>
                </c:pt>
              </c:numCache>
            </c:numRef>
          </c:val>
          <c:extLst>
            <c:ext xmlns:c16="http://schemas.microsoft.com/office/drawing/2014/chart" uri="{C3380CC4-5D6E-409C-BE32-E72D297353CC}">
              <c16:uniqueId val="{00000006-47DC-4ABA-9C9C-25E97FAB4528}"/>
            </c:ext>
          </c:extLst>
        </c:ser>
        <c:ser>
          <c:idx val="8"/>
          <c:order val="8"/>
          <c:tx>
            <c:strRef>
              <c:f>'3.1 CASCADE ANALYSIS'!$AJ$5</c:f>
              <c:strCache>
                <c:ptCount val="1"/>
                <c:pt idx="0">
                  <c:v>Urine</c:v>
                </c:pt>
              </c:strCache>
            </c:strRef>
          </c:tx>
          <c:spPr>
            <a:solidFill>
              <a:schemeClr val="accent4"/>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ANALYSIS'!$AJ$6:$AJ$11</c:f>
              <c:numCache>
                <c:formatCode>General</c:formatCode>
                <c:ptCount val="6"/>
                <c:pt idx="2">
                  <c:v>0</c:v>
                </c:pt>
              </c:numCache>
            </c:numRef>
          </c:val>
          <c:extLst>
            <c:ext xmlns:c16="http://schemas.microsoft.com/office/drawing/2014/chart" uri="{C3380CC4-5D6E-409C-BE32-E72D297353CC}">
              <c16:uniqueId val="{00000007-47DC-4ABA-9C9C-25E97FAB4528}"/>
            </c:ext>
          </c:extLst>
        </c:ser>
        <c:ser>
          <c:idx val="9"/>
          <c:order val="9"/>
          <c:tx>
            <c:strRef>
              <c:f>'3.1 CASCADE ANALYSIS'!$AK$5</c:f>
              <c:strCache>
                <c:ptCount val="1"/>
                <c:pt idx="0">
                  <c:v>Unknown Specimen Type</c:v>
                </c:pt>
              </c:strCache>
            </c:strRef>
          </c:tx>
          <c:spPr>
            <a:solidFill>
              <a:schemeClr val="accent4">
                <a:lumMod val="40000"/>
                <a:lumOff val="6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ANALYSIS'!$AK$6:$AK$11</c:f>
              <c:numCache>
                <c:formatCode>General</c:formatCode>
                <c:ptCount val="6"/>
                <c:pt idx="2">
                  <c:v>0</c:v>
                </c:pt>
              </c:numCache>
            </c:numRef>
          </c:val>
          <c:extLst>
            <c:ext xmlns:c16="http://schemas.microsoft.com/office/drawing/2014/chart" uri="{C3380CC4-5D6E-409C-BE32-E72D297353CC}">
              <c16:uniqueId val="{00000008-47DC-4ABA-9C9C-25E97FAB4528}"/>
            </c:ext>
          </c:extLst>
        </c:ser>
        <c:ser>
          <c:idx val="10"/>
          <c:order val="10"/>
          <c:tx>
            <c:strRef>
              <c:f>'3.1 CASCADE ANALYSIS'!$AL$5</c:f>
              <c:strCache>
                <c:ptCount val="1"/>
                <c:pt idx="0">
                  <c:v>mWRD Positive </c:v>
                </c:pt>
              </c:strCache>
            </c:strRef>
          </c:tx>
          <c:spPr>
            <a:solidFill>
              <a:srgbClr val="C00000"/>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ANALYSIS'!$AL$6:$AL$11</c:f>
              <c:numCache>
                <c:formatCode>General</c:formatCode>
                <c:ptCount val="6"/>
                <c:pt idx="3">
                  <c:v>0</c:v>
                </c:pt>
                <c:pt idx="4">
                  <c:v>0</c:v>
                </c:pt>
              </c:numCache>
            </c:numRef>
          </c:val>
          <c:extLst>
            <c:ext xmlns:c16="http://schemas.microsoft.com/office/drawing/2014/chart" uri="{C3380CC4-5D6E-409C-BE32-E72D297353CC}">
              <c16:uniqueId val="{00000009-47DC-4ABA-9C9C-25E97FAB4528}"/>
            </c:ext>
          </c:extLst>
        </c:ser>
        <c:ser>
          <c:idx val="11"/>
          <c:order val="11"/>
          <c:tx>
            <c:strRef>
              <c:f>'3.1 CASCADE ANALYSIS'!$AM$5</c:f>
              <c:strCache>
                <c:ptCount val="1"/>
                <c:pt idx="0">
                  <c:v>Smear Positive</c:v>
                </c:pt>
              </c:strCache>
            </c:strRef>
          </c:tx>
          <c:spPr>
            <a:solidFill>
              <a:srgbClr val="FF0000"/>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ANALYSIS'!$AM$6:$AM$11</c:f>
              <c:numCache>
                <c:formatCode>General</c:formatCode>
                <c:ptCount val="6"/>
                <c:pt idx="3">
                  <c:v>0</c:v>
                </c:pt>
                <c:pt idx="4">
                  <c:v>0</c:v>
                </c:pt>
              </c:numCache>
            </c:numRef>
          </c:val>
          <c:extLst>
            <c:ext xmlns:c16="http://schemas.microsoft.com/office/drawing/2014/chart" uri="{C3380CC4-5D6E-409C-BE32-E72D297353CC}">
              <c16:uniqueId val="{0000000A-47DC-4ABA-9C9C-25E97FAB4528}"/>
            </c:ext>
          </c:extLst>
        </c:ser>
        <c:ser>
          <c:idx val="12"/>
          <c:order val="12"/>
          <c:tx>
            <c:strRef>
              <c:f>'3.1 CASCADE ANALYSIS'!$AN$5</c:f>
              <c:strCache>
                <c:ptCount val="1"/>
                <c:pt idx="0">
                  <c:v>LAM Positive</c:v>
                </c:pt>
              </c:strCache>
            </c:strRef>
          </c:tx>
          <c:spPr>
            <a:solidFill>
              <a:srgbClr val="F08888"/>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ANALYSIS'!$AN$6:$AN$11</c:f>
              <c:numCache>
                <c:formatCode>General</c:formatCode>
                <c:ptCount val="6"/>
                <c:pt idx="3">
                  <c:v>0</c:v>
                </c:pt>
                <c:pt idx="4">
                  <c:v>0</c:v>
                </c:pt>
              </c:numCache>
            </c:numRef>
          </c:val>
          <c:extLst>
            <c:ext xmlns:c16="http://schemas.microsoft.com/office/drawing/2014/chart" uri="{C3380CC4-5D6E-409C-BE32-E72D297353CC}">
              <c16:uniqueId val="{0000000B-47DC-4ABA-9C9C-25E97FAB4528}"/>
            </c:ext>
          </c:extLst>
        </c:ser>
        <c:ser>
          <c:idx val="13"/>
          <c:order val="13"/>
          <c:tx>
            <c:strRef>
              <c:f>'3.1 CASCADE ANALYSIS'!$AO$5</c:f>
              <c:strCache>
                <c:ptCount val="1"/>
                <c:pt idx="0">
                  <c:v>mWRD Negative</c:v>
                </c:pt>
              </c:strCache>
            </c:strRef>
          </c:tx>
          <c:spPr>
            <a:solidFill>
              <a:schemeClr val="accent6">
                <a:lumMod val="5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ANALYSIS'!$AO$6:$AO$11</c:f>
              <c:numCache>
                <c:formatCode>General</c:formatCode>
                <c:ptCount val="6"/>
                <c:pt idx="3">
                  <c:v>0</c:v>
                </c:pt>
                <c:pt idx="4">
                  <c:v>0</c:v>
                </c:pt>
              </c:numCache>
            </c:numRef>
          </c:val>
          <c:extLst>
            <c:ext xmlns:c16="http://schemas.microsoft.com/office/drawing/2014/chart" uri="{C3380CC4-5D6E-409C-BE32-E72D297353CC}">
              <c16:uniqueId val="{0000000C-47DC-4ABA-9C9C-25E97FAB4528}"/>
            </c:ext>
          </c:extLst>
        </c:ser>
        <c:ser>
          <c:idx val="14"/>
          <c:order val="14"/>
          <c:tx>
            <c:strRef>
              <c:f>'3.1 CASCADE ANALYSIS'!$AP$5</c:f>
              <c:strCache>
                <c:ptCount val="1"/>
                <c:pt idx="0">
                  <c:v>Smear Negative</c:v>
                </c:pt>
              </c:strCache>
            </c:strRef>
          </c:tx>
          <c:spPr>
            <a:solidFill>
              <a:schemeClr val="accent6">
                <a:lumMod val="7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ANALYSIS'!$AP$6:$AP$11</c:f>
              <c:numCache>
                <c:formatCode>General</c:formatCode>
                <c:ptCount val="6"/>
                <c:pt idx="3">
                  <c:v>0</c:v>
                </c:pt>
                <c:pt idx="4">
                  <c:v>0</c:v>
                </c:pt>
              </c:numCache>
            </c:numRef>
          </c:val>
          <c:extLst>
            <c:ext xmlns:c16="http://schemas.microsoft.com/office/drawing/2014/chart" uri="{C3380CC4-5D6E-409C-BE32-E72D297353CC}">
              <c16:uniqueId val="{0000000D-47DC-4ABA-9C9C-25E97FAB4528}"/>
            </c:ext>
          </c:extLst>
        </c:ser>
        <c:ser>
          <c:idx val="15"/>
          <c:order val="15"/>
          <c:tx>
            <c:strRef>
              <c:f>'3.1 CASCADE ANALYSIS'!$AQ$5</c:f>
              <c:strCache>
                <c:ptCount val="1"/>
                <c:pt idx="0">
                  <c:v>LAM Negative</c:v>
                </c:pt>
              </c:strCache>
            </c:strRef>
          </c:tx>
          <c:spPr>
            <a:solidFill>
              <a:schemeClr val="accent6">
                <a:lumMod val="60000"/>
                <a:lumOff val="4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ANALYSIS'!$AQ$6:$AQ$11</c:f>
              <c:numCache>
                <c:formatCode>General</c:formatCode>
                <c:ptCount val="6"/>
                <c:pt idx="3">
                  <c:v>0</c:v>
                </c:pt>
                <c:pt idx="4">
                  <c:v>0</c:v>
                </c:pt>
              </c:numCache>
            </c:numRef>
          </c:val>
          <c:extLst>
            <c:ext xmlns:c16="http://schemas.microsoft.com/office/drawing/2014/chart" uri="{C3380CC4-5D6E-409C-BE32-E72D297353CC}">
              <c16:uniqueId val="{0000000E-47DC-4ABA-9C9C-25E97FAB4528}"/>
            </c:ext>
          </c:extLst>
        </c:ser>
        <c:ser>
          <c:idx val="16"/>
          <c:order val="16"/>
          <c:tx>
            <c:strRef>
              <c:f>'3.1 CASCADE ANALYSIS'!$AR$5</c:f>
              <c:strCache>
                <c:ptCount val="1"/>
                <c:pt idx="0">
                  <c:v>mWRD Invalid</c:v>
                </c:pt>
              </c:strCache>
            </c:strRef>
          </c:tx>
          <c:spPr>
            <a:solidFill>
              <a:schemeClr val="bg2">
                <a:lumMod val="5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ANALYSIS'!$AR$6:$AR$11</c:f>
              <c:numCache>
                <c:formatCode>General</c:formatCode>
                <c:ptCount val="6"/>
                <c:pt idx="3">
                  <c:v>0</c:v>
                </c:pt>
                <c:pt idx="4">
                  <c:v>0</c:v>
                </c:pt>
              </c:numCache>
            </c:numRef>
          </c:val>
          <c:extLst>
            <c:ext xmlns:c16="http://schemas.microsoft.com/office/drawing/2014/chart" uri="{C3380CC4-5D6E-409C-BE32-E72D297353CC}">
              <c16:uniqueId val="{0000000F-47DC-4ABA-9C9C-25E97FAB4528}"/>
            </c:ext>
          </c:extLst>
        </c:ser>
        <c:ser>
          <c:idx val="17"/>
          <c:order val="17"/>
          <c:tx>
            <c:strRef>
              <c:f>'3.1 CASCADE ANALYSIS'!$AS$5</c:f>
              <c:strCache>
                <c:ptCount val="1"/>
                <c:pt idx="0">
                  <c:v>LAM Invalid</c:v>
                </c:pt>
              </c:strCache>
            </c:strRef>
          </c:tx>
          <c:spPr>
            <a:solidFill>
              <a:schemeClr val="bg1">
                <a:lumMod val="65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ANALYSIS'!$AS$6:$AS$11</c:f>
              <c:numCache>
                <c:formatCode>General</c:formatCode>
                <c:ptCount val="6"/>
                <c:pt idx="3">
                  <c:v>0</c:v>
                </c:pt>
                <c:pt idx="4">
                  <c:v>0</c:v>
                </c:pt>
              </c:numCache>
            </c:numRef>
          </c:val>
          <c:extLst>
            <c:ext xmlns:c16="http://schemas.microsoft.com/office/drawing/2014/chart" uri="{C3380CC4-5D6E-409C-BE32-E72D297353CC}">
              <c16:uniqueId val="{00000010-47DC-4ABA-9C9C-25E97FAB4528}"/>
            </c:ext>
          </c:extLst>
        </c:ser>
        <c:ser>
          <c:idx val="18"/>
          <c:order val="18"/>
          <c:tx>
            <c:strRef>
              <c:f>'3.1 CASCADE ANALYSIS'!$AT$5</c:f>
              <c:strCache>
                <c:ptCount val="1"/>
                <c:pt idx="0">
                  <c:v>Initiated  Treatment</c:v>
                </c:pt>
              </c:strCache>
            </c:strRef>
          </c:tx>
          <c:spPr>
            <a:solidFill>
              <a:srgbClr val="7030A0"/>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ANALYSIS'!$AT$6:$AT$11</c:f>
              <c:numCache>
                <c:formatCode>General</c:formatCode>
                <c:ptCount val="6"/>
                <c:pt idx="5">
                  <c:v>0</c:v>
                </c:pt>
              </c:numCache>
            </c:numRef>
          </c:val>
          <c:extLst>
            <c:ext xmlns:c16="http://schemas.microsoft.com/office/drawing/2014/chart" uri="{C3380CC4-5D6E-409C-BE32-E72D297353CC}">
              <c16:uniqueId val="{00000011-47DC-4ABA-9C9C-25E97FAB4528}"/>
            </c:ext>
          </c:extLst>
        </c:ser>
        <c:ser>
          <c:idx val="19"/>
          <c:order val="19"/>
          <c:tx>
            <c:strRef>
              <c:f>'3.1 CASCADE ANALYSIS'!$AU$5</c:f>
              <c:strCache>
                <c:ptCount val="1"/>
                <c:pt idx="0">
                  <c:v>Transferred</c:v>
                </c:pt>
              </c:strCache>
            </c:strRef>
          </c:tx>
          <c:spPr>
            <a:solidFill>
              <a:srgbClr val="CC99FF"/>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ANALYSIS'!$AU$6:$AU$11</c:f>
              <c:numCache>
                <c:formatCode>General</c:formatCode>
                <c:ptCount val="6"/>
                <c:pt idx="5">
                  <c:v>0</c:v>
                </c:pt>
              </c:numCache>
            </c:numRef>
          </c:val>
          <c:extLst>
            <c:ext xmlns:c16="http://schemas.microsoft.com/office/drawing/2014/chart" uri="{C3380CC4-5D6E-409C-BE32-E72D297353CC}">
              <c16:uniqueId val="{00000012-47DC-4ABA-9C9C-25E97FAB4528}"/>
            </c:ext>
          </c:extLst>
        </c:ser>
        <c:ser>
          <c:idx val="20"/>
          <c:order val="20"/>
          <c:tx>
            <c:strRef>
              <c:f>'3.1 CASCADE ANALYSIS'!$AV$5</c:f>
              <c:strCache>
                <c:ptCount val="1"/>
                <c:pt idx="0">
                  <c:v>Not Documented</c:v>
                </c:pt>
              </c:strCache>
            </c:strRef>
          </c:tx>
          <c:spPr>
            <a:solidFill>
              <a:schemeClr val="bg2">
                <a:lumMod val="90000"/>
              </a:schemeClr>
            </a:solidFill>
            <a:ln w="3175">
              <a:solidFill>
                <a:schemeClr val="bg1"/>
              </a:solidFill>
            </a:ln>
            <a:effectLst/>
          </c:spPr>
          <c:invertIfNegative val="0"/>
          <c:cat>
            <c:strRef>
              <c:f>'3.1 CASCADE ANALYSIS'!$X$6:$X$11</c:f>
              <c:strCache>
                <c:ptCount val="6"/>
                <c:pt idx="0">
                  <c:v>Presumptive TB</c:v>
                </c:pt>
                <c:pt idx="1">
                  <c:v>Specimen Collection </c:v>
                </c:pt>
                <c:pt idx="2">
                  <c:v>Specimen Transfer to Lab</c:v>
                </c:pt>
                <c:pt idx="3">
                  <c:v>Specimen Diagnostic Testing </c:v>
                </c:pt>
                <c:pt idx="4">
                  <c:v>Results Returned to Clinic</c:v>
                </c:pt>
                <c:pt idx="5">
                  <c:v>Treatment</c:v>
                </c:pt>
              </c:strCache>
            </c:strRef>
          </c:cat>
          <c:val>
            <c:numRef>
              <c:f>'3.1 CASCADE ANALYSIS'!$AV$6:$AV$11</c:f>
              <c:numCache>
                <c:formatCode>General</c:formatCode>
                <c:ptCount val="6"/>
                <c:pt idx="1">
                  <c:v>0</c:v>
                </c:pt>
                <c:pt idx="2">
                  <c:v>0</c:v>
                </c:pt>
                <c:pt idx="3">
                  <c:v>0</c:v>
                </c:pt>
                <c:pt idx="4">
                  <c:v>0</c:v>
                </c:pt>
                <c:pt idx="5">
                  <c:v>0</c:v>
                </c:pt>
              </c:numCache>
            </c:numRef>
          </c:val>
          <c:extLst>
            <c:ext xmlns:c16="http://schemas.microsoft.com/office/drawing/2014/chart" uri="{C3380CC4-5D6E-409C-BE32-E72D297353CC}">
              <c16:uniqueId val="{00000013-47DC-4ABA-9C9C-25E97FAB4528}"/>
            </c:ext>
          </c:extLst>
        </c:ser>
        <c:dLbls>
          <c:showLegendKey val="0"/>
          <c:showVal val="0"/>
          <c:showCatName val="0"/>
          <c:showSerName val="0"/>
          <c:showPercent val="0"/>
          <c:showBubbleSize val="0"/>
        </c:dLbls>
        <c:gapWidth val="150"/>
        <c:overlap val="100"/>
        <c:axId val="863007200"/>
        <c:axId val="939804688"/>
        <c:extLst/>
      </c:barChart>
      <c:catAx>
        <c:axId val="863007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39804688"/>
        <c:crosses val="autoZero"/>
        <c:auto val="1"/>
        <c:lblAlgn val="ctr"/>
        <c:lblOffset val="100"/>
        <c:noMultiLvlLbl val="0"/>
      </c:catAx>
      <c:valAx>
        <c:axId val="939804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86300720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Prevention Cascade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'3.1 CASCADE ANALYSIS'!$Z$55</c:f>
              <c:strCache>
                <c:ptCount val="1"/>
                <c:pt idx="0">
                  <c:v>PLHIV with presumptive TB</c:v>
                </c:pt>
              </c:strCache>
            </c:strRef>
          </c:tx>
          <c:spPr>
            <a:solidFill>
              <a:schemeClr val="accent1"/>
            </a:solidFill>
            <a:ln>
              <a:noFill/>
            </a:ln>
            <a:effectLst/>
          </c:spPr>
          <c:invertIfNegative val="0"/>
          <c:dPt>
            <c:idx val="0"/>
            <c:invertIfNegative val="0"/>
            <c:bubble3D val="0"/>
            <c:spPr>
              <a:solidFill>
                <a:schemeClr val="accent5"/>
              </a:solidFill>
              <a:ln w="3175">
                <a:solidFill>
                  <a:schemeClr val="bg1"/>
                </a:solidFill>
              </a:ln>
              <a:effectLst/>
            </c:spPr>
            <c:extLst>
              <c:ext xmlns:c16="http://schemas.microsoft.com/office/drawing/2014/chart" uri="{C3380CC4-5D6E-409C-BE32-E72D297353CC}">
                <c16:uniqueId val="{00000004-CC01-4F13-9866-C89305676E8A}"/>
              </c:ext>
            </c:extLst>
          </c:dPt>
          <c:cat>
            <c:strRef>
              <c:f>'3.1 CASCADE ANALYSIS'!$Y$56:$Y$59</c:f>
              <c:strCache>
                <c:ptCount val="4"/>
                <c:pt idx="0">
                  <c:v>Presumptive TB </c:v>
                </c:pt>
                <c:pt idx="1">
                  <c:v>Est. TPT Eligible</c:v>
                </c:pt>
                <c:pt idx="2">
                  <c:v>TPT Initiation</c:v>
                </c:pt>
                <c:pt idx="3">
                  <c:v>TPT Outcome</c:v>
                </c:pt>
              </c:strCache>
            </c:strRef>
          </c:cat>
          <c:val>
            <c:numRef>
              <c:f>'3.1 CASCADE ANALYSIS'!$Z$56:$Z$59</c:f>
              <c:numCache>
                <c:formatCode>General</c:formatCode>
                <c:ptCount val="4"/>
                <c:pt idx="0">
                  <c:v>0</c:v>
                </c:pt>
              </c:numCache>
            </c:numRef>
          </c:val>
          <c:extLst>
            <c:ext xmlns:c16="http://schemas.microsoft.com/office/drawing/2014/chart" uri="{C3380CC4-5D6E-409C-BE32-E72D297353CC}">
              <c16:uniqueId val="{00000000-3FF7-447B-8029-3465A5B765CF}"/>
            </c:ext>
          </c:extLst>
        </c:ser>
        <c:ser>
          <c:idx val="1"/>
          <c:order val="1"/>
          <c:tx>
            <c:strRef>
              <c:f>'3.1 CASCADE ANALYSIS'!$AA$55</c:f>
              <c:strCache>
                <c:ptCount val="1"/>
                <c:pt idx="0">
                  <c:v>Est. PLHIV not on TB treatment</c:v>
                </c:pt>
              </c:strCache>
            </c:strRef>
          </c:tx>
          <c:spPr>
            <a:solidFill>
              <a:srgbClr val="CC99FF"/>
            </a:solidFill>
            <a:ln w="3175">
              <a:solidFill>
                <a:schemeClr val="bg1"/>
              </a:solidFill>
            </a:ln>
            <a:effectLst/>
          </c:spPr>
          <c:invertIfNegative val="0"/>
          <c:cat>
            <c:strRef>
              <c:f>'3.1 CASCADE ANALYSIS'!$Y$56:$Y$59</c:f>
              <c:strCache>
                <c:ptCount val="4"/>
                <c:pt idx="0">
                  <c:v>Presumptive TB </c:v>
                </c:pt>
                <c:pt idx="1">
                  <c:v>Est. TPT Eligible</c:v>
                </c:pt>
                <c:pt idx="2">
                  <c:v>TPT Initiation</c:v>
                </c:pt>
                <c:pt idx="3">
                  <c:v>TPT Outcome</c:v>
                </c:pt>
              </c:strCache>
            </c:strRef>
          </c:cat>
          <c:val>
            <c:numRef>
              <c:f>'3.1 CASCADE ANALYSIS'!$AA$56:$AA$59</c:f>
              <c:numCache>
                <c:formatCode>General</c:formatCode>
                <c:ptCount val="4"/>
                <c:pt idx="1">
                  <c:v>0</c:v>
                </c:pt>
              </c:numCache>
            </c:numRef>
          </c:val>
          <c:extLst>
            <c:ext xmlns:c16="http://schemas.microsoft.com/office/drawing/2014/chart" uri="{C3380CC4-5D6E-409C-BE32-E72D297353CC}">
              <c16:uniqueId val="{00000001-3FF7-447B-8029-3465A5B765CF}"/>
            </c:ext>
          </c:extLst>
        </c:ser>
        <c:ser>
          <c:idx val="2"/>
          <c:order val="2"/>
          <c:tx>
            <c:strRef>
              <c:f>'3.1 CASCADE ANALYSIS'!$AB$55</c:f>
              <c:strCache>
                <c:ptCount val="1"/>
                <c:pt idx="0">
                  <c:v>3HP</c:v>
                </c:pt>
              </c:strCache>
            </c:strRef>
          </c:tx>
          <c:spPr>
            <a:solidFill>
              <a:schemeClr val="accent2">
                <a:lumMod val="75000"/>
              </a:schemeClr>
            </a:solidFill>
            <a:ln w="3175">
              <a:solidFill>
                <a:schemeClr val="bg1"/>
              </a:solidFill>
            </a:ln>
            <a:effectLst/>
          </c:spPr>
          <c:invertIfNegative val="0"/>
          <c:cat>
            <c:strRef>
              <c:f>'3.1 CASCADE ANALYSIS'!$Y$56:$Y$59</c:f>
              <c:strCache>
                <c:ptCount val="4"/>
                <c:pt idx="0">
                  <c:v>Presumptive TB </c:v>
                </c:pt>
                <c:pt idx="1">
                  <c:v>Est. TPT Eligible</c:v>
                </c:pt>
                <c:pt idx="2">
                  <c:v>TPT Initiation</c:v>
                </c:pt>
                <c:pt idx="3">
                  <c:v>TPT Outcome</c:v>
                </c:pt>
              </c:strCache>
            </c:strRef>
          </c:cat>
          <c:val>
            <c:numRef>
              <c:f>'3.1 CASCADE ANALYSIS'!$AB$56:$AB$59</c:f>
              <c:numCache>
                <c:formatCode>General</c:formatCode>
                <c:ptCount val="4"/>
                <c:pt idx="2">
                  <c:v>0</c:v>
                </c:pt>
              </c:numCache>
            </c:numRef>
          </c:val>
          <c:extLst>
            <c:ext xmlns:c16="http://schemas.microsoft.com/office/drawing/2014/chart" uri="{C3380CC4-5D6E-409C-BE32-E72D297353CC}">
              <c16:uniqueId val="{00000002-3FF7-447B-8029-3465A5B765CF}"/>
            </c:ext>
          </c:extLst>
        </c:ser>
        <c:ser>
          <c:idx val="3"/>
          <c:order val="3"/>
          <c:tx>
            <c:strRef>
              <c:f>'3.1 CASCADE ANALYSIS'!$AC$55</c:f>
              <c:strCache>
                <c:ptCount val="1"/>
                <c:pt idx="0">
                  <c:v>6H</c:v>
                </c:pt>
              </c:strCache>
            </c:strRef>
          </c:tx>
          <c:spPr>
            <a:solidFill>
              <a:schemeClr val="accent2"/>
            </a:solidFill>
            <a:ln w="3175">
              <a:solidFill>
                <a:schemeClr val="bg1"/>
              </a:solidFill>
            </a:ln>
            <a:effectLst/>
          </c:spPr>
          <c:invertIfNegative val="0"/>
          <c:cat>
            <c:strRef>
              <c:f>'3.1 CASCADE ANALYSIS'!$Y$56:$Y$59</c:f>
              <c:strCache>
                <c:ptCount val="4"/>
                <c:pt idx="0">
                  <c:v>Presumptive TB </c:v>
                </c:pt>
                <c:pt idx="1">
                  <c:v>Est. TPT Eligible</c:v>
                </c:pt>
                <c:pt idx="2">
                  <c:v>TPT Initiation</c:v>
                </c:pt>
                <c:pt idx="3">
                  <c:v>TPT Outcome</c:v>
                </c:pt>
              </c:strCache>
            </c:strRef>
          </c:cat>
          <c:val>
            <c:numRef>
              <c:f>'3.1 CASCADE ANALYSIS'!$AC$56:$AC$59</c:f>
              <c:numCache>
                <c:formatCode>General</c:formatCode>
                <c:ptCount val="4"/>
                <c:pt idx="2">
                  <c:v>0</c:v>
                </c:pt>
              </c:numCache>
            </c:numRef>
          </c:val>
          <c:extLst>
            <c:ext xmlns:c16="http://schemas.microsoft.com/office/drawing/2014/chart" uri="{C3380CC4-5D6E-409C-BE32-E72D297353CC}">
              <c16:uniqueId val="{00000003-3FF7-447B-8029-3465A5B765CF}"/>
            </c:ext>
          </c:extLst>
        </c:ser>
        <c:ser>
          <c:idx val="4"/>
          <c:order val="4"/>
          <c:tx>
            <c:strRef>
              <c:f>'3.1 CASCADE ANALYSIS'!$AD$55</c:f>
              <c:strCache>
                <c:ptCount val="1"/>
                <c:pt idx="0">
                  <c:v>Other</c:v>
                </c:pt>
              </c:strCache>
            </c:strRef>
          </c:tx>
          <c:spPr>
            <a:solidFill>
              <a:schemeClr val="accent2">
                <a:lumMod val="60000"/>
                <a:lumOff val="40000"/>
              </a:schemeClr>
            </a:solidFill>
            <a:ln w="3175">
              <a:solidFill>
                <a:schemeClr val="bg1"/>
              </a:solidFill>
            </a:ln>
            <a:effectLst/>
          </c:spPr>
          <c:invertIfNegative val="0"/>
          <c:cat>
            <c:strRef>
              <c:f>'3.1 CASCADE ANALYSIS'!$Y$56:$Y$59</c:f>
              <c:strCache>
                <c:ptCount val="4"/>
                <c:pt idx="0">
                  <c:v>Presumptive TB </c:v>
                </c:pt>
                <c:pt idx="1">
                  <c:v>Est. TPT Eligible</c:v>
                </c:pt>
                <c:pt idx="2">
                  <c:v>TPT Initiation</c:v>
                </c:pt>
                <c:pt idx="3">
                  <c:v>TPT Outcome</c:v>
                </c:pt>
              </c:strCache>
            </c:strRef>
          </c:cat>
          <c:val>
            <c:numRef>
              <c:f>'3.1 CASCADE ANALYSIS'!$AD$56:$AD$59</c:f>
              <c:numCache>
                <c:formatCode>General</c:formatCode>
                <c:ptCount val="4"/>
                <c:pt idx="2">
                  <c:v>0</c:v>
                </c:pt>
              </c:numCache>
            </c:numRef>
          </c:val>
          <c:extLst>
            <c:ext xmlns:c16="http://schemas.microsoft.com/office/drawing/2014/chart" uri="{C3380CC4-5D6E-409C-BE32-E72D297353CC}">
              <c16:uniqueId val="{00000010-3FF7-447B-8029-3465A5B765CF}"/>
            </c:ext>
          </c:extLst>
        </c:ser>
        <c:ser>
          <c:idx val="5"/>
          <c:order val="5"/>
          <c:tx>
            <c:strRef>
              <c:f>'3.1 CASCADE ANALYSIS'!$AE$55</c:f>
              <c:strCache>
                <c:ptCount val="1"/>
                <c:pt idx="0">
                  <c:v>Completed TPT</c:v>
                </c:pt>
              </c:strCache>
            </c:strRef>
          </c:tx>
          <c:spPr>
            <a:solidFill>
              <a:srgbClr val="F36767"/>
            </a:solidFill>
            <a:ln w="3175">
              <a:solidFill>
                <a:schemeClr val="bg1"/>
              </a:solidFill>
            </a:ln>
            <a:effectLst/>
          </c:spPr>
          <c:invertIfNegative val="0"/>
          <c:cat>
            <c:strRef>
              <c:f>'3.1 CASCADE ANALYSIS'!$Y$56:$Y$59</c:f>
              <c:strCache>
                <c:ptCount val="4"/>
                <c:pt idx="0">
                  <c:v>Presumptive TB </c:v>
                </c:pt>
                <c:pt idx="1">
                  <c:v>Est. TPT Eligible</c:v>
                </c:pt>
                <c:pt idx="2">
                  <c:v>TPT Initiation</c:v>
                </c:pt>
                <c:pt idx="3">
                  <c:v>TPT Outcome</c:v>
                </c:pt>
              </c:strCache>
            </c:strRef>
          </c:cat>
          <c:val>
            <c:numRef>
              <c:f>'3.1 CASCADE ANALYSIS'!$AE$56:$AE$59</c:f>
              <c:numCache>
                <c:formatCode>General</c:formatCode>
                <c:ptCount val="4"/>
                <c:pt idx="3">
                  <c:v>0</c:v>
                </c:pt>
              </c:numCache>
            </c:numRef>
          </c:val>
          <c:extLst>
            <c:ext xmlns:c16="http://schemas.microsoft.com/office/drawing/2014/chart" uri="{C3380CC4-5D6E-409C-BE32-E72D297353CC}">
              <c16:uniqueId val="{00000011-3FF7-447B-8029-3465A5B765CF}"/>
            </c:ext>
          </c:extLst>
        </c:ser>
        <c:ser>
          <c:idx val="6"/>
          <c:order val="6"/>
          <c:tx>
            <c:strRef>
              <c:f>'3.1 CASCADE ANALYSIS'!$AF$55</c:f>
              <c:strCache>
                <c:ptCount val="1"/>
                <c:pt idx="0">
                  <c:v>Transferred</c:v>
                </c:pt>
              </c:strCache>
            </c:strRef>
          </c:tx>
          <c:spPr>
            <a:solidFill>
              <a:srgbClr val="FFAFB8"/>
            </a:solidFill>
            <a:ln w="3175">
              <a:solidFill>
                <a:schemeClr val="bg1"/>
              </a:solidFill>
            </a:ln>
            <a:effectLst/>
          </c:spPr>
          <c:invertIfNegative val="0"/>
          <c:dPt>
            <c:idx val="3"/>
            <c:invertIfNegative val="0"/>
            <c:bubble3D val="0"/>
            <c:spPr>
              <a:solidFill>
                <a:srgbClr val="FFAFB8"/>
              </a:solidFill>
              <a:ln w="3175">
                <a:solidFill>
                  <a:schemeClr val="bg1"/>
                </a:solidFill>
              </a:ln>
              <a:effectLst/>
            </c:spPr>
            <c:extLst>
              <c:ext xmlns:c16="http://schemas.microsoft.com/office/drawing/2014/chart" uri="{C3380CC4-5D6E-409C-BE32-E72D297353CC}">
                <c16:uniqueId val="{00000005-2205-4D13-9BD4-1BC748AAEB97}"/>
              </c:ext>
            </c:extLst>
          </c:dPt>
          <c:cat>
            <c:strRef>
              <c:f>'3.1 CASCADE ANALYSIS'!$Y$56:$Y$59</c:f>
              <c:strCache>
                <c:ptCount val="4"/>
                <c:pt idx="0">
                  <c:v>Presumptive TB </c:v>
                </c:pt>
                <c:pt idx="1">
                  <c:v>Est. TPT Eligible</c:v>
                </c:pt>
                <c:pt idx="2">
                  <c:v>TPT Initiation</c:v>
                </c:pt>
                <c:pt idx="3">
                  <c:v>TPT Outcome</c:v>
                </c:pt>
              </c:strCache>
            </c:strRef>
          </c:cat>
          <c:val>
            <c:numRef>
              <c:f>'3.1 CASCADE ANALYSIS'!$AF$56:$AF$59</c:f>
              <c:numCache>
                <c:formatCode>General</c:formatCode>
                <c:ptCount val="4"/>
                <c:pt idx="3">
                  <c:v>0</c:v>
                </c:pt>
              </c:numCache>
            </c:numRef>
          </c:val>
          <c:extLst>
            <c:ext xmlns:c16="http://schemas.microsoft.com/office/drawing/2014/chart" uri="{C3380CC4-5D6E-409C-BE32-E72D297353CC}">
              <c16:uniqueId val="{00000005-CC01-4F13-9866-C89305676E8A}"/>
            </c:ext>
          </c:extLst>
        </c:ser>
        <c:ser>
          <c:idx val="7"/>
          <c:order val="7"/>
          <c:tx>
            <c:strRef>
              <c:f>'3.1 CASCADE ANALYSIS'!$AG$55</c:f>
              <c:strCache>
                <c:ptCount val="1"/>
                <c:pt idx="0">
                  <c:v>Not documented</c:v>
                </c:pt>
              </c:strCache>
            </c:strRef>
          </c:tx>
          <c:spPr>
            <a:solidFill>
              <a:schemeClr val="bg2">
                <a:lumMod val="90000"/>
              </a:schemeClr>
            </a:solidFill>
            <a:ln w="3175">
              <a:solidFill>
                <a:schemeClr val="bg1"/>
              </a:solidFill>
            </a:ln>
            <a:effectLst/>
          </c:spPr>
          <c:invertIfNegative val="0"/>
          <c:cat>
            <c:strRef>
              <c:f>'3.1 CASCADE ANALYSIS'!$Y$56:$Y$59</c:f>
              <c:strCache>
                <c:ptCount val="4"/>
                <c:pt idx="0">
                  <c:v>Presumptive TB </c:v>
                </c:pt>
                <c:pt idx="1">
                  <c:v>Est. TPT Eligible</c:v>
                </c:pt>
                <c:pt idx="2">
                  <c:v>TPT Initiation</c:v>
                </c:pt>
                <c:pt idx="3">
                  <c:v>TPT Outcome</c:v>
                </c:pt>
              </c:strCache>
            </c:strRef>
          </c:cat>
          <c:val>
            <c:numRef>
              <c:f>'3.1 CASCADE ANALYSIS'!$AG$56:$AG$59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CC01-4F13-9866-C89305676E8A}"/>
            </c:ext>
          </c:extLst>
        </c:ser>
        <c:dLbls>
          <c:showLegendKey val="0"/>
          <c:showVal val="0"/>
          <c:showCatName val="0"/>
          <c:showSerName val="0"/>
          <c:showPercent val="0"/>
          <c:showBubbleSize val="0"/>
        </c:dLbls>
        <c:gapWidth val="100"/>
        <c:overlap val="100"/>
        <c:axId val="340762415"/>
        <c:axId val="2116776063"/>
      </c:barChart>
      <c:catAx>
        <c:axId val="340762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16776063"/>
        <c:crosses val="autoZero"/>
        <c:auto val="1"/>
        <c:lblAlgn val="ctr"/>
        <c:lblOffset val="100"/>
        <c:noMultiLvlLbl val="0"/>
      </c:catAx>
      <c:valAx>
        <c:axId val="211677606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4076241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t>Key Metrics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tx>
            <c:strRef>
              <c:f>'3.1 CASCADE ANALYSIS'!$Y$61</c:f>
              <c:strCache>
                <c:ptCount val="1"/>
                <c:pt idx="0">
                  <c:v>Documented</c:v>
                </c:pt>
              </c:strCache>
            </c:strRef>
          </c:tx>
          <c:spPr>
            <a:solidFill>
              <a:srgbClr val="FF66CC"/>
            </a:solidFill>
            <a:ln w="25400">
              <a:solidFill>
                <a:srgbClr val="FF66CC"/>
              </a:solidFill>
            </a:ln>
            <a:effectLst/>
          </c:spPr>
          <c:invertIfNegative val="0"/>
          <c:dPt>
            <c:idx val="0"/>
            <c:invertIfNegative val="0"/>
            <c:bubble3D val="0"/>
            <c:spPr>
              <a:solidFill>
                <a:schemeClr val="accent5"/>
              </a:solidFill>
              <a:ln w="25400">
                <a:solidFill>
                  <a:schemeClr val="accent5"/>
                </a:solidFill>
              </a:ln>
              <a:effectLst/>
            </c:spPr>
            <c:extLst>
              <c:ext xmlns:c16="http://schemas.microsoft.com/office/drawing/2014/chart" uri="{C3380CC4-5D6E-409C-BE32-E72D297353CC}">
                <c16:uniqueId val="{00000009-E622-46EE-A08A-1CED69763C4E}"/>
              </c:ext>
            </c:extLst>
          </c:dPt>
          <c:dPt>
            <c:idx val="1"/>
            <c:invertIfNegative val="0"/>
            <c:bubble3D val="0"/>
            <c:spPr>
              <a:solidFill>
                <a:srgbClr val="CC99FF"/>
              </a:solidFill>
              <a:ln w="25400">
                <a:solidFill>
                  <a:srgbClr val="CC99FF"/>
                </a:solidFill>
              </a:ln>
              <a:effectLst/>
            </c:spPr>
            <c:extLst>
              <c:ext xmlns:c16="http://schemas.microsoft.com/office/drawing/2014/chart" uri="{C3380CC4-5D6E-409C-BE32-E72D297353CC}">
                <c16:uniqueId val="{00000007-E622-46EE-A08A-1CED69763C4E}"/>
              </c:ext>
            </c:extLst>
          </c:dPt>
          <c:dPt>
            <c:idx val="2"/>
            <c:invertIfNegative val="0"/>
            <c:bubble3D val="0"/>
            <c:spPr>
              <a:solidFill>
                <a:srgbClr val="F36767"/>
              </a:solidFill>
              <a:ln w="25400">
                <a:solidFill>
                  <a:srgbClr val="F36767"/>
                </a:solidFill>
              </a:ln>
              <a:effectLst/>
            </c:spPr>
            <c:extLst>
              <c:ext xmlns:c16="http://schemas.microsoft.com/office/drawing/2014/chart" uri="{C3380CC4-5D6E-409C-BE32-E72D297353CC}">
                <c16:uniqueId val="{00000005-E622-46EE-A08A-1CED69763C4E}"/>
              </c:ext>
            </c:extLst>
          </c:dPt>
          <c:dPt>
            <c:idx val="3"/>
            <c:invertIfNegative val="0"/>
            <c:bubble3D val="0"/>
            <c:spPr>
              <a:solidFill>
                <a:srgbClr val="FFAFB8"/>
              </a:solidFill>
              <a:ln w="25400">
                <a:solidFill>
                  <a:srgbClr val="FFAFB8"/>
                </a:solidFill>
              </a:ln>
              <a:effectLst/>
            </c:spPr>
            <c:extLst>
              <c:ext xmlns:c16="http://schemas.microsoft.com/office/drawing/2014/chart" uri="{C3380CC4-5D6E-409C-BE32-E72D297353CC}">
                <c16:uniqueId val="{00000003-E622-46EE-A08A-1CED69763C4E}"/>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ANALYSIS'!$X$62:$X$65</c:f>
              <c:strCache>
                <c:ptCount val="4"/>
                <c:pt idx="0">
                  <c:v>% Initiation (overall)</c:v>
                </c:pt>
                <c:pt idx="1">
                  <c:v>% Initiation (est. eligible)</c:v>
                </c:pt>
                <c:pt idx="2">
                  <c:v>% Completion</c:v>
                </c:pt>
                <c:pt idx="3">
                  <c:v>% Completed or transferred</c:v>
                </c:pt>
              </c:strCache>
            </c:strRef>
          </c:cat>
          <c:val>
            <c:numRef>
              <c:f>'3.1 CASCADE ANALYSIS'!$Y$62:$Y$65</c:f>
              <c:numCache>
                <c:formatCode>0%</c:formatCode>
                <c:ptCount val="4"/>
                <c:pt idx="0">
                  <c:v>0</c:v>
                </c:pt>
                <c:pt idx="1">
                  <c:v>0</c:v>
                </c:pt>
                <c:pt idx="2">
                  <c:v>0</c:v>
                </c:pt>
                <c:pt idx="3">
                  <c:v>0</c:v>
                </c:pt>
              </c:numCache>
            </c:numRef>
          </c:val>
          <c:extLst>
            <c:ext xmlns:c16="http://schemas.microsoft.com/office/drawing/2014/chart" uri="{C3380CC4-5D6E-409C-BE32-E72D297353CC}">
              <c16:uniqueId val="{00000000-E622-46EE-A08A-1CED69763C4E}"/>
            </c:ext>
          </c:extLst>
        </c:ser>
        <c:ser>
          <c:idx val="1"/>
          <c:order val="1"/>
          <c:tx>
            <c:strRef>
              <c:f>'3.1 CASCADE ANALYSIS'!$Z$61</c:f>
              <c:strCache>
                <c:ptCount val="1"/>
                <c:pt idx="0">
                  <c:v>Not documented</c:v>
                </c:pt>
              </c:strCache>
            </c:strRef>
          </c:tx>
          <c:spPr>
            <a:solidFill>
              <a:schemeClr val="bg1"/>
            </a:solidFill>
            <a:ln w="25400">
              <a:solidFill>
                <a:schemeClr val="accent5"/>
              </a:solidFill>
            </a:ln>
            <a:effectLst/>
          </c:spPr>
          <c:invertIfNegative val="0"/>
          <c:dPt>
            <c:idx val="1"/>
            <c:invertIfNegative val="0"/>
            <c:bubble3D val="0"/>
            <c:spPr>
              <a:solidFill>
                <a:schemeClr val="bg1"/>
              </a:solidFill>
              <a:ln w="25400">
                <a:solidFill>
                  <a:srgbClr val="CC99FF"/>
                </a:solidFill>
              </a:ln>
              <a:effectLst/>
            </c:spPr>
            <c:extLst>
              <c:ext xmlns:c16="http://schemas.microsoft.com/office/drawing/2014/chart" uri="{C3380CC4-5D6E-409C-BE32-E72D297353CC}">
                <c16:uniqueId val="{00000008-E622-46EE-A08A-1CED69763C4E}"/>
              </c:ext>
            </c:extLst>
          </c:dPt>
          <c:dPt>
            <c:idx val="2"/>
            <c:invertIfNegative val="0"/>
            <c:bubble3D val="0"/>
            <c:spPr>
              <a:solidFill>
                <a:schemeClr val="bg1"/>
              </a:solidFill>
              <a:ln w="25400">
                <a:solidFill>
                  <a:srgbClr val="F36767"/>
                </a:solidFill>
              </a:ln>
              <a:effectLst/>
            </c:spPr>
            <c:extLst>
              <c:ext xmlns:c16="http://schemas.microsoft.com/office/drawing/2014/chart" uri="{C3380CC4-5D6E-409C-BE32-E72D297353CC}">
                <c16:uniqueId val="{00000006-E622-46EE-A08A-1CED69763C4E}"/>
              </c:ext>
            </c:extLst>
          </c:dPt>
          <c:dPt>
            <c:idx val="3"/>
            <c:invertIfNegative val="0"/>
            <c:bubble3D val="0"/>
            <c:spPr>
              <a:solidFill>
                <a:schemeClr val="bg1"/>
              </a:solidFill>
              <a:ln w="25400">
                <a:solidFill>
                  <a:srgbClr val="FFAFB8"/>
                </a:solidFill>
              </a:ln>
              <a:effectLst/>
            </c:spPr>
            <c:extLst>
              <c:ext xmlns:c16="http://schemas.microsoft.com/office/drawing/2014/chart" uri="{C3380CC4-5D6E-409C-BE32-E72D297353CC}">
                <c16:uniqueId val="{00000004-E622-46EE-A08A-1CED69763C4E}"/>
              </c:ext>
            </c:extLst>
          </c:dPt>
          <c:cat>
            <c:strRef>
              <c:f>'3.1 CASCADE ANALYSIS'!$X$62:$X$65</c:f>
              <c:strCache>
                <c:ptCount val="4"/>
                <c:pt idx="0">
                  <c:v>% Initiation (overall)</c:v>
                </c:pt>
                <c:pt idx="1">
                  <c:v>% Initiation (est. eligible)</c:v>
                </c:pt>
                <c:pt idx="2">
                  <c:v>% Completion</c:v>
                </c:pt>
                <c:pt idx="3">
                  <c:v>% Completed or transferred</c:v>
                </c:pt>
              </c:strCache>
            </c:strRef>
          </c:cat>
          <c:val>
            <c:numRef>
              <c:f>'3.1 CASCADE ANALYSIS'!$Z$62:$Z$65</c:f>
              <c:numCache>
                <c:formatCode>0%</c:formatCode>
                <c:ptCount val="4"/>
                <c:pt idx="0">
                  <c:v>0</c:v>
                </c:pt>
                <c:pt idx="1">
                  <c:v>0</c:v>
                </c:pt>
                <c:pt idx="2">
                  <c:v>0</c:v>
                </c:pt>
                <c:pt idx="3">
                  <c:v>0</c:v>
                </c:pt>
              </c:numCache>
            </c:numRef>
          </c:val>
          <c:extLst>
            <c:ext xmlns:c16="http://schemas.microsoft.com/office/drawing/2014/chart" uri="{C3380CC4-5D6E-409C-BE32-E72D297353CC}">
              <c16:uniqueId val="{00000001-E622-46EE-A08A-1CED69763C4E}"/>
            </c:ext>
          </c:extLst>
        </c:ser>
        <c:dLbls>
          <c:showLegendKey val="0"/>
          <c:showVal val="0"/>
          <c:showCatName val="0"/>
          <c:showSerName val="0"/>
          <c:showPercent val="0"/>
          <c:showBubbleSize val="0"/>
        </c:dLbls>
        <c:gapWidth val="75"/>
        <c:overlap val="100"/>
        <c:axId val="2093613663"/>
        <c:axId val="15597631"/>
      </c:barChart>
      <c:catAx>
        <c:axId val="209361366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597631"/>
        <c:crosses val="autoZero"/>
        <c:auto val="1"/>
        <c:lblAlgn val="ctr"/>
        <c:lblOffset val="100"/>
        <c:noMultiLvlLbl val="0"/>
      </c:catAx>
      <c:valAx>
        <c:axId val="15597631"/>
        <c:scaling>
          <c:orientation val="minMax"/>
        </c:scaling>
        <c:delete val="1"/>
        <c:axPos val="t"/>
        <c:numFmt formatCode="0%" sourceLinked="1"/>
        <c:majorTickMark val="none"/>
        <c:minorTickMark val="none"/>
        <c:tickLblPos val="nextTo"/>
        <c:crossAx val="2093613663"/>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Regimen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'3.1 CASCADE ANALYSIS'!$X$68</c:f>
              <c:strCache>
                <c:ptCount val="1"/>
                <c:pt idx="0">
                  <c:v>3HP</c:v>
                </c:pt>
              </c:strCache>
            </c:strRef>
          </c:tx>
          <c:spPr>
            <a:solidFill>
              <a:schemeClr val="accent2">
                <a:lumMod val="75000"/>
              </a:schemeClr>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ANALYSIS'!$Y$67</c:f>
              <c:strCache>
                <c:ptCount val="1"/>
                <c:pt idx="0">
                  <c:v>Documented</c:v>
                </c:pt>
              </c:strCache>
            </c:strRef>
          </c:cat>
          <c:val>
            <c:numRef>
              <c:f>'3.1 CASCADE ANALYSIS'!$Y$68</c:f>
              <c:numCache>
                <c:formatCode>0%</c:formatCode>
                <c:ptCount val="1"/>
                <c:pt idx="0">
                  <c:v>0</c:v>
                </c:pt>
              </c:numCache>
            </c:numRef>
          </c:val>
          <c:extLst>
            <c:ext xmlns:c16="http://schemas.microsoft.com/office/drawing/2014/chart" uri="{C3380CC4-5D6E-409C-BE32-E72D297353CC}">
              <c16:uniqueId val="{00000000-931B-4652-B28C-0B6596808409}"/>
            </c:ext>
          </c:extLst>
        </c:ser>
        <c:ser>
          <c:idx val="1"/>
          <c:order val="1"/>
          <c:tx>
            <c:strRef>
              <c:f>'3.1 CASCADE ANALYSIS'!$X$69</c:f>
              <c:strCache>
                <c:ptCount val="1"/>
                <c:pt idx="0">
                  <c:v>6H</c:v>
                </c:pt>
              </c:strCache>
            </c:strRef>
          </c:tx>
          <c:spPr>
            <a:solidFill>
              <a:schemeClr val="accent2"/>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ANALYSIS'!$Y$67</c:f>
              <c:strCache>
                <c:ptCount val="1"/>
                <c:pt idx="0">
                  <c:v>Documented</c:v>
                </c:pt>
              </c:strCache>
            </c:strRef>
          </c:cat>
          <c:val>
            <c:numRef>
              <c:f>'3.1 CASCADE ANALYSIS'!$Y$69</c:f>
              <c:numCache>
                <c:formatCode>0%</c:formatCode>
                <c:ptCount val="1"/>
                <c:pt idx="0">
                  <c:v>0</c:v>
                </c:pt>
              </c:numCache>
            </c:numRef>
          </c:val>
          <c:extLst>
            <c:ext xmlns:c16="http://schemas.microsoft.com/office/drawing/2014/chart" uri="{C3380CC4-5D6E-409C-BE32-E72D297353CC}">
              <c16:uniqueId val="{00000001-931B-4652-B28C-0B6596808409}"/>
            </c:ext>
          </c:extLst>
        </c:ser>
        <c:ser>
          <c:idx val="2"/>
          <c:order val="2"/>
          <c:tx>
            <c:strRef>
              <c:f>'3.1 CASCADE ANALYSIS'!$X$70</c:f>
              <c:strCache>
                <c:ptCount val="1"/>
                <c:pt idx="0">
                  <c:v>Other</c:v>
                </c:pt>
              </c:strCache>
            </c:strRef>
          </c:tx>
          <c:spPr>
            <a:solidFill>
              <a:schemeClr val="accent2">
                <a:lumMod val="60000"/>
                <a:lumOff val="40000"/>
              </a:schemeClr>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ANALYSIS'!$Y$67</c:f>
              <c:strCache>
                <c:ptCount val="1"/>
                <c:pt idx="0">
                  <c:v>Documented</c:v>
                </c:pt>
              </c:strCache>
            </c:strRef>
          </c:cat>
          <c:val>
            <c:numRef>
              <c:f>'3.1 CASCADE ANALYSIS'!$Y$70</c:f>
              <c:numCache>
                <c:formatCode>0%</c:formatCode>
                <c:ptCount val="1"/>
                <c:pt idx="0">
                  <c:v>0</c:v>
                </c:pt>
              </c:numCache>
            </c:numRef>
          </c:val>
          <c:extLst>
            <c:ext xmlns:c16="http://schemas.microsoft.com/office/drawing/2014/chart" uri="{C3380CC4-5D6E-409C-BE32-E72D297353CC}">
              <c16:uniqueId val="{00000002-931B-4652-B28C-0B6596808409}"/>
            </c:ext>
          </c:extLst>
        </c:ser>
        <c:ser>
          <c:idx val="3"/>
          <c:order val="3"/>
          <c:tx>
            <c:strRef>
              <c:f>'3.1 CASCADE ANALYSIS'!$X$71</c:f>
              <c:strCache>
                <c:ptCount val="1"/>
                <c:pt idx="0">
                  <c:v>Unknown</c:v>
                </c:pt>
              </c:strCache>
            </c:strRef>
          </c:tx>
          <c:spPr>
            <a:solidFill>
              <a:schemeClr val="bg2">
                <a:lumMod val="90000"/>
              </a:schemeClr>
            </a:solidFill>
            <a:ln w="3175">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 CASCADE ANALYSIS'!$Y$67</c:f>
              <c:strCache>
                <c:ptCount val="1"/>
                <c:pt idx="0">
                  <c:v>Documented</c:v>
                </c:pt>
              </c:strCache>
            </c:strRef>
          </c:cat>
          <c:val>
            <c:numRef>
              <c:f>'3.1 CASCADE ANALYSIS'!$Y$71</c:f>
              <c:numCache>
                <c:formatCode>0%</c:formatCode>
                <c:ptCount val="1"/>
                <c:pt idx="0">
                  <c:v>0</c:v>
                </c:pt>
              </c:numCache>
            </c:numRef>
          </c:val>
          <c:extLst>
            <c:ext xmlns:c16="http://schemas.microsoft.com/office/drawing/2014/chart" uri="{C3380CC4-5D6E-409C-BE32-E72D297353CC}">
              <c16:uniqueId val="{00000003-931B-4652-B28C-0B6596808409}"/>
            </c:ext>
          </c:extLst>
        </c:ser>
        <c:dLbls>
          <c:dLblPos val="ctr"/>
          <c:showLegendKey val="0"/>
          <c:showVal val="1"/>
          <c:showCatName val="0"/>
          <c:showSerName val="0"/>
          <c:showPercent val="0"/>
          <c:showBubbleSize val="0"/>
        </c:dLbls>
        <c:gapWidth val="25"/>
        <c:overlap val="100"/>
        <c:axId val="1039614671"/>
        <c:axId val="9567471"/>
      </c:barChart>
      <c:catAx>
        <c:axId val="1039614671"/>
        <c:scaling>
          <c:orientation val="minMax"/>
        </c:scaling>
        <c:delete val="1"/>
        <c:axPos val="l"/>
        <c:numFmt formatCode="General" sourceLinked="1"/>
        <c:majorTickMark val="none"/>
        <c:minorTickMark val="none"/>
        <c:tickLblPos val="nextTo"/>
        <c:crossAx val="9567471"/>
        <c:crosses val="autoZero"/>
        <c:auto val="1"/>
        <c:lblAlgn val="ctr"/>
        <c:lblOffset val="100"/>
        <c:noMultiLvlLbl val="0"/>
      </c:catAx>
      <c:valAx>
        <c:axId val="9567471"/>
        <c:scaling>
          <c:orientation val="minMax"/>
        </c:scaling>
        <c:delete val="1"/>
        <c:axPos val="b"/>
        <c:numFmt formatCode="0%" sourceLinked="1"/>
        <c:majorTickMark val="none"/>
        <c:minorTickMark val="none"/>
        <c:tickLblPos val="nextTo"/>
        <c:crossAx val="1039614671"/>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Entry Points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'3.1 CASCADE ANALYSIS'!$AB$5</c:f>
              <c:strCache>
                <c:ptCount val="1"/>
              </c:strCache>
            </c:strRef>
          </c:tx>
          <c:spPr>
            <a:solidFill>
              <a:schemeClr val="accent1"/>
            </a:solidFill>
            <a:ln w="3175">
              <a:solidFill>
                <a:schemeClr val="bg1"/>
              </a:solidFill>
            </a:ln>
            <a:effectLst/>
          </c:spPr>
          <c:invertIfNegative val="0"/>
          <c:dPt>
            <c:idx val="0"/>
            <c:invertIfNegative val="0"/>
            <c:bubble3D val="0"/>
            <c:spPr>
              <a:solidFill>
                <a:schemeClr val="accent5">
                  <a:lumMod val="50000"/>
                </a:schemeClr>
              </a:solidFill>
              <a:ln w="3175">
                <a:solidFill>
                  <a:schemeClr val="bg1"/>
                </a:solidFill>
              </a:ln>
              <a:effectLst/>
            </c:spPr>
            <c:extLst>
              <c:ext xmlns:c16="http://schemas.microsoft.com/office/drawing/2014/chart" uri="{C3380CC4-5D6E-409C-BE32-E72D297353CC}">
                <c16:uniqueId val="{00000000-0D71-41CC-8779-8D297D7A7C09}"/>
              </c:ext>
            </c:extLst>
          </c:dPt>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ANALYSIS'!$AB$12</c:f>
              <c:numCache>
                <c:formatCode>0%</c:formatCode>
                <c:ptCount val="1"/>
                <c:pt idx="0">
                  <c:v>0</c:v>
                </c:pt>
              </c:numCache>
            </c:numRef>
          </c:val>
          <c:extLst>
            <c:ext xmlns:c16="http://schemas.microsoft.com/office/drawing/2014/chart" uri="{C3380CC4-5D6E-409C-BE32-E72D297353CC}">
              <c16:uniqueId val="{00000000-A884-4F25-9451-73CF1D4D53CD}"/>
            </c:ext>
          </c:extLst>
        </c:ser>
        <c:ser>
          <c:idx val="1"/>
          <c:order val="1"/>
          <c:tx>
            <c:strRef>
              <c:f>'3.1 CASCADE ANALYSIS'!$AC$5</c:f>
              <c:strCache>
                <c:ptCount val="1"/>
              </c:strCache>
            </c:strRef>
          </c:tx>
          <c:spPr>
            <a:solidFill>
              <a:schemeClr val="accent5">
                <a:lumMod val="75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ANALYSIS'!$AC$12</c:f>
              <c:numCache>
                <c:formatCode>0%</c:formatCode>
                <c:ptCount val="1"/>
                <c:pt idx="0">
                  <c:v>0</c:v>
                </c:pt>
              </c:numCache>
            </c:numRef>
          </c:val>
          <c:extLst>
            <c:ext xmlns:c16="http://schemas.microsoft.com/office/drawing/2014/chart" uri="{C3380CC4-5D6E-409C-BE32-E72D297353CC}">
              <c16:uniqueId val="{00000001-A884-4F25-9451-73CF1D4D53CD}"/>
            </c:ext>
          </c:extLst>
        </c:ser>
        <c:ser>
          <c:idx val="2"/>
          <c:order val="2"/>
          <c:tx>
            <c:strRef>
              <c:f>'3.1 CASCADE ANALYSIS'!$AD$5</c:f>
              <c:strCache>
                <c:ptCount val="1"/>
              </c:strCache>
            </c:strRef>
          </c:tx>
          <c:spPr>
            <a:solidFill>
              <a:schemeClr val="accent5"/>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ANALYSIS'!$AD$12</c:f>
              <c:numCache>
                <c:formatCode>0%</c:formatCode>
                <c:ptCount val="1"/>
                <c:pt idx="0">
                  <c:v>0</c:v>
                </c:pt>
              </c:numCache>
            </c:numRef>
          </c:val>
          <c:extLst>
            <c:ext xmlns:c16="http://schemas.microsoft.com/office/drawing/2014/chart" uri="{C3380CC4-5D6E-409C-BE32-E72D297353CC}">
              <c16:uniqueId val="{00000002-A884-4F25-9451-73CF1D4D53CD}"/>
            </c:ext>
          </c:extLst>
        </c:ser>
        <c:ser>
          <c:idx val="3"/>
          <c:order val="3"/>
          <c:tx>
            <c:strRef>
              <c:f>'3.1 CASCADE ANALYSIS'!$AE$5</c:f>
              <c:strCache>
                <c:ptCount val="1"/>
              </c:strCache>
            </c:strRef>
          </c:tx>
          <c:spPr>
            <a:solidFill>
              <a:schemeClr val="accent5">
                <a:lumMod val="60000"/>
                <a:lumOff val="4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ANALYSIS'!$AE$12</c:f>
              <c:numCache>
                <c:formatCode>0%</c:formatCode>
                <c:ptCount val="1"/>
                <c:pt idx="0">
                  <c:v>0</c:v>
                </c:pt>
              </c:numCache>
            </c:numRef>
          </c:val>
          <c:extLst>
            <c:ext xmlns:c16="http://schemas.microsoft.com/office/drawing/2014/chart" uri="{C3380CC4-5D6E-409C-BE32-E72D297353CC}">
              <c16:uniqueId val="{00000003-A884-4F25-9451-73CF1D4D53CD}"/>
            </c:ext>
          </c:extLst>
        </c:ser>
        <c:ser>
          <c:idx val="4"/>
          <c:order val="4"/>
          <c:tx>
            <c:strRef>
              <c:f>'3.1 CASCADE ANALYSIS'!$AF$5</c:f>
              <c:strCache>
                <c:ptCount val="1"/>
              </c:strCache>
            </c:strRef>
          </c:tx>
          <c:spPr>
            <a:solidFill>
              <a:schemeClr val="accent5">
                <a:lumMod val="40000"/>
                <a:lumOff val="60000"/>
              </a:schemeClr>
            </a:solidFill>
            <a:ln w="3175">
              <a:solidFill>
                <a:schemeClr val="bg1"/>
              </a:solid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 CASCADE ANALYSIS'!$AF$12</c:f>
              <c:numCache>
                <c:formatCode>0%</c:formatCode>
                <c:ptCount val="1"/>
                <c:pt idx="0">
                  <c:v>0</c:v>
                </c:pt>
              </c:numCache>
            </c:numRef>
          </c:val>
          <c:extLst>
            <c:ext xmlns:c16="http://schemas.microsoft.com/office/drawing/2014/chart" uri="{C3380CC4-5D6E-409C-BE32-E72D297353CC}">
              <c16:uniqueId val="{00000004-A884-4F25-9451-73CF1D4D53CD}"/>
            </c:ext>
          </c:extLst>
        </c:ser>
        <c:dLbls>
          <c:dLblPos val="ctr"/>
          <c:showLegendKey val="0"/>
          <c:showVal val="1"/>
          <c:showCatName val="0"/>
          <c:showSerName val="0"/>
          <c:showPercent val="0"/>
          <c:showBubbleSize val="0"/>
        </c:dLbls>
        <c:gapWidth val="50"/>
        <c:overlap val="100"/>
        <c:axId val="123913599"/>
        <c:axId val="117525119"/>
      </c:barChart>
      <c:catAx>
        <c:axId val="123913599"/>
        <c:scaling>
          <c:orientation val="minMax"/>
        </c:scaling>
        <c:delete val="1"/>
        <c:axPos val="l"/>
        <c:numFmt formatCode="General" sourceLinked="1"/>
        <c:majorTickMark val="none"/>
        <c:minorTickMark val="none"/>
        <c:tickLblPos val="nextTo"/>
        <c:crossAx val="117525119"/>
        <c:crosses val="autoZero"/>
        <c:auto val="1"/>
        <c:lblAlgn val="ctr"/>
        <c:lblOffset val="100"/>
        <c:noMultiLvlLbl val="0"/>
      </c:catAx>
      <c:valAx>
        <c:axId val="117525119"/>
        <c:scaling>
          <c:orientation val="minMax"/>
        </c:scaling>
        <c:delete val="1"/>
        <c:axPos val="b"/>
        <c:numFmt formatCode="0%" sourceLinked="1"/>
        <c:majorTickMark val="none"/>
        <c:minorTickMark val="none"/>
        <c:tickLblPos val="nextTo"/>
        <c:crossAx val="12391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 Id="rId9"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104776</xdr:rowOff>
    </xdr:from>
    <xdr:to>
      <xdr:col>1</xdr:col>
      <xdr:colOff>1922099</xdr:colOff>
      <xdr:row>3</xdr:row>
      <xdr:rowOff>190501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133350" y="104776"/>
          <a:ext cx="1941149" cy="800100"/>
        </a:xfrm>
        <a:prstGeom prst="rect">
          <a:avLst/>
        </a:prstGeom>
      </xdr:spPr>
    </xdr:pic>
    <xdr:clientData/>
  </xdr:twoCellAnchor>
  <xdr:twoCellAnchor editAs="oneCell">
    <xdr:from>
      <xdr:col>1</xdr:col>
      <xdr:colOff>84818</xdr:colOff>
      <xdr:row>25</xdr:row>
      <xdr:rowOff>30392</xdr:rowOff>
    </xdr:from>
    <xdr:to>
      <xdr:col>1</xdr:col>
      <xdr:colOff>973999</xdr:colOff>
      <xdr:row>28</xdr:row>
      <xdr:rowOff>149616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248104" y="11378749"/>
          <a:ext cx="894896" cy="649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43297</xdr:colOff>
      <xdr:row>1</xdr:row>
      <xdr:rowOff>34636</xdr:rowOff>
    </xdr:from>
    <xdr:to>
      <xdr:col>8</xdr:col>
      <xdr:colOff>207107</xdr:colOff>
      <xdr:row>12</xdr:row>
      <xdr:rowOff>95250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3297" y="225136"/>
          <a:ext cx="5037839" cy="21561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84666</xdr:colOff>
      <xdr:row>13</xdr:row>
      <xdr:rowOff>97156</xdr:rowOff>
    </xdr:from>
    <xdr:to>
      <xdr:col>7</xdr:col>
      <xdr:colOff>1363345</xdr:colOff>
      <xdr:row>34</xdr:row>
      <xdr:rowOff>174466</xdr:rowOff>
    </xdr:to>
    <xdr:graphicFrame macro="">
      <xdr:nvGraphicFramePr>
        <xdr:cNvPr id="7" name="Chart 6">
          <a:extLst>
            <a:ext uri="{FF2B5EF4-FFF2-40B4-BE49-F238E27FC236}">
              <a16:creationId xmlns:a16="http://schemas.microsoft.com/office/drawing/2014/main" id="{33FD4D2F-AF6B-4303-890F-A42BDDAAA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3808</xdr:colOff>
      <xdr:row>20</xdr:row>
      <xdr:rowOff>35663</xdr:rowOff>
    </xdr:from>
    <xdr:to>
      <xdr:col>15</xdr:col>
      <xdr:colOff>984250</xdr:colOff>
      <xdr:row>35</xdr:row>
      <xdr:rowOff>74398</xdr:rowOff>
    </xdr:to>
    <xdr:graphicFrame macro="">
      <xdr:nvGraphicFramePr>
        <xdr:cNvPr id="15" name="Chart 14">
          <a:extLst>
            <a:ext uri="{FF2B5EF4-FFF2-40B4-BE49-F238E27FC236}">
              <a16:creationId xmlns:a16="http://schemas.microsoft.com/office/drawing/2014/main" id="{13AE8C34-E24B-4F24-9804-664CA40EB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10001</xdr:colOff>
      <xdr:row>3</xdr:row>
      <xdr:rowOff>23813</xdr:rowOff>
    </xdr:from>
    <xdr:to>
      <xdr:col>15</xdr:col>
      <xdr:colOff>925300</xdr:colOff>
      <xdr:row>18</xdr:row>
      <xdr:rowOff>53075</xdr:rowOff>
    </xdr:to>
    <xdr:graphicFrame macro="">
      <xdr:nvGraphicFramePr>
        <xdr:cNvPr id="16" name="Chart 15">
          <a:extLst>
            <a:ext uri="{FF2B5EF4-FFF2-40B4-BE49-F238E27FC236}">
              <a16:creationId xmlns:a16="http://schemas.microsoft.com/office/drawing/2014/main" id="{2AD2C651-18D7-4969-8312-330B9DF88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1666421</xdr:colOff>
      <xdr:row>1</xdr:row>
      <xdr:rowOff>21188</xdr:rowOff>
    </xdr:from>
    <xdr:to>
      <xdr:col>15</xdr:col>
      <xdr:colOff>110035</xdr:colOff>
      <xdr:row>10</xdr:row>
      <xdr:rowOff>199362</xdr:rowOff>
    </xdr:to>
    <xdr:graphicFrame macro="">
      <xdr:nvGraphicFramePr>
        <xdr:cNvPr id="4" name="Chart 3">
          <a:extLst>
            <a:ext uri="{FF2B5EF4-FFF2-40B4-BE49-F238E27FC236}">
              <a16:creationId xmlns:a16="http://schemas.microsoft.com/office/drawing/2014/main" id="{127CB4B6-3E00-44E5-9DD2-6BBB96CE9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1388291</xdr:colOff>
      <xdr:row>9</xdr:row>
      <xdr:rowOff>210185</xdr:rowOff>
    </xdr:from>
    <xdr:to>
      <xdr:col>15</xdr:col>
      <xdr:colOff>122101</xdr:colOff>
      <xdr:row>26</xdr:row>
      <xdr:rowOff>196851</xdr:rowOff>
    </xdr:to>
    <xdr:graphicFrame macro="">
      <xdr:nvGraphicFramePr>
        <xdr:cNvPr id="5" name="Chart 4">
          <a:extLst>
            <a:ext uri="{FF2B5EF4-FFF2-40B4-BE49-F238E27FC236}">
              <a16:creationId xmlns:a16="http://schemas.microsoft.com/office/drawing/2014/main" id="{3021859A-47D6-4089-838D-C3A65009F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15150</xdr:rowOff>
    </xdr:from>
    <xdr:to>
      <xdr:col>11</xdr:col>
      <xdr:colOff>920252</xdr:colOff>
      <xdr:row>78</xdr:row>
      <xdr:rowOff>59690</xdr:rowOff>
    </xdr:to>
    <xdr:graphicFrame macro="">
      <xdr:nvGraphicFramePr>
        <xdr:cNvPr id="10" name="Chart 9">
          <a:extLst>
            <a:ext uri="{FF2B5EF4-FFF2-40B4-BE49-F238E27FC236}">
              <a16:creationId xmlns:a16="http://schemas.microsoft.com/office/drawing/2014/main" id="{690383FB-55F0-6408-AAAF-07759635F9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926012</xdr:colOff>
      <xdr:row>53</xdr:row>
      <xdr:rowOff>238123</xdr:rowOff>
    </xdr:from>
    <xdr:to>
      <xdr:col>17</xdr:col>
      <xdr:colOff>857250</xdr:colOff>
      <xdr:row>70</xdr:row>
      <xdr:rowOff>54428</xdr:rowOff>
    </xdr:to>
    <xdr:graphicFrame macro="">
      <xdr:nvGraphicFramePr>
        <xdr:cNvPr id="13" name="Chart 12">
          <a:extLst>
            <a:ext uri="{FF2B5EF4-FFF2-40B4-BE49-F238E27FC236}">
              <a16:creationId xmlns:a16="http://schemas.microsoft.com/office/drawing/2014/main" id="{AA3508B8-502A-3B5C-A3AD-84349D58F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914265</xdr:colOff>
      <xdr:row>70</xdr:row>
      <xdr:rowOff>231320</xdr:rowOff>
    </xdr:from>
    <xdr:to>
      <xdr:col>17</xdr:col>
      <xdr:colOff>857249</xdr:colOff>
      <xdr:row>77</xdr:row>
      <xdr:rowOff>174465</xdr:rowOff>
    </xdr:to>
    <xdr:graphicFrame macro="">
      <xdr:nvGraphicFramePr>
        <xdr:cNvPr id="15" name="Chart 14">
          <a:extLst>
            <a:ext uri="{FF2B5EF4-FFF2-40B4-BE49-F238E27FC236}">
              <a16:creationId xmlns:a16="http://schemas.microsoft.com/office/drawing/2014/main" id="{DD54412B-8A2F-7960-D3B3-CBAB77B3DD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193853</xdr:colOff>
      <xdr:row>10</xdr:row>
      <xdr:rowOff>96698</xdr:rowOff>
    </xdr:from>
    <xdr:to>
      <xdr:col>20</xdr:col>
      <xdr:colOff>26940</xdr:colOff>
      <xdr:row>17</xdr:row>
      <xdr:rowOff>126274</xdr:rowOff>
    </xdr:to>
    <xdr:graphicFrame macro="">
      <xdr:nvGraphicFramePr>
        <xdr:cNvPr id="16" name="Chart 15">
          <a:extLst>
            <a:ext uri="{FF2B5EF4-FFF2-40B4-BE49-F238E27FC236}">
              <a16:creationId xmlns:a16="http://schemas.microsoft.com/office/drawing/2014/main" id="{6041657B-9128-BEFC-07B1-73BA92FF71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193853</xdr:colOff>
      <xdr:row>18</xdr:row>
      <xdr:rowOff>59279</xdr:rowOff>
    </xdr:from>
    <xdr:to>
      <xdr:col>20</xdr:col>
      <xdr:colOff>21315</xdr:colOff>
      <xdr:row>28</xdr:row>
      <xdr:rowOff>130852</xdr:rowOff>
    </xdr:to>
    <xdr:graphicFrame macro="">
      <xdr:nvGraphicFramePr>
        <xdr:cNvPr id="17" name="Chart 16">
          <a:extLst>
            <a:ext uri="{FF2B5EF4-FFF2-40B4-BE49-F238E27FC236}">
              <a16:creationId xmlns:a16="http://schemas.microsoft.com/office/drawing/2014/main" id="{9DCE1529-D285-40BA-9D31-383DDD5A7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193852</xdr:colOff>
      <xdr:row>38</xdr:row>
      <xdr:rowOff>56694</xdr:rowOff>
    </xdr:from>
    <xdr:to>
      <xdr:col>20</xdr:col>
      <xdr:colOff>35737</xdr:colOff>
      <xdr:row>48</xdr:row>
      <xdr:rowOff>88444</xdr:rowOff>
    </xdr:to>
    <xdr:graphicFrame macro="">
      <xdr:nvGraphicFramePr>
        <xdr:cNvPr id="21" name="Chart 20">
          <a:extLst>
            <a:ext uri="{FF2B5EF4-FFF2-40B4-BE49-F238E27FC236}">
              <a16:creationId xmlns:a16="http://schemas.microsoft.com/office/drawing/2014/main" id="{D5F55C9E-2CF6-4683-A094-3F671AD40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190815</xdr:colOff>
      <xdr:row>29</xdr:row>
      <xdr:rowOff>56238</xdr:rowOff>
    </xdr:from>
    <xdr:to>
      <xdr:col>20</xdr:col>
      <xdr:colOff>32700</xdr:colOff>
      <xdr:row>39</xdr:row>
      <xdr:rowOff>122097</xdr:rowOff>
    </xdr:to>
    <xdr:graphicFrame macro="">
      <xdr:nvGraphicFramePr>
        <xdr:cNvPr id="19" name="Chart 18">
          <a:extLst>
            <a:ext uri="{FF2B5EF4-FFF2-40B4-BE49-F238E27FC236}">
              <a16:creationId xmlns:a16="http://schemas.microsoft.com/office/drawing/2014/main" id="{FB6ECB29-92CE-246B-C107-97A9B56A8A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190499</xdr:colOff>
      <xdr:row>7</xdr:row>
      <xdr:rowOff>19322</xdr:rowOff>
    </xdr:from>
    <xdr:to>
      <xdr:col>12</xdr:col>
      <xdr:colOff>365125</xdr:colOff>
      <xdr:row>27</xdr:row>
      <xdr:rowOff>19526</xdr:rowOff>
    </xdr:to>
    <xdr:graphicFrame macro="">
      <xdr:nvGraphicFramePr>
        <xdr:cNvPr id="20" name="Chart 19">
          <a:extLst>
            <a:ext uri="{FF2B5EF4-FFF2-40B4-BE49-F238E27FC236}">
              <a16:creationId xmlns:a16="http://schemas.microsoft.com/office/drawing/2014/main" id="{C9208C1F-DE35-D340-CAE4-C5A0B29032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102870</xdr:colOff>
      <xdr:row>37</xdr:row>
      <xdr:rowOff>21591</xdr:rowOff>
    </xdr:from>
    <xdr:to>
      <xdr:col>12</xdr:col>
      <xdr:colOff>275591</xdr:colOff>
      <xdr:row>58</xdr:row>
      <xdr:rowOff>269876</xdr:rowOff>
    </xdr:to>
    <xdr:graphicFrame macro="">
      <xdr:nvGraphicFramePr>
        <xdr:cNvPr id="3" name="Chart 2">
          <a:extLst>
            <a:ext uri="{FF2B5EF4-FFF2-40B4-BE49-F238E27FC236}">
              <a16:creationId xmlns:a16="http://schemas.microsoft.com/office/drawing/2014/main" id="{977382BC-4DC7-4058-B623-701906A59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209550</xdr:colOff>
      <xdr:row>68</xdr:row>
      <xdr:rowOff>213359</xdr:rowOff>
    </xdr:from>
    <xdr:to>
      <xdr:col>12</xdr:col>
      <xdr:colOff>383286</xdr:colOff>
      <xdr:row>89</xdr:row>
      <xdr:rowOff>41528</xdr:rowOff>
    </xdr:to>
    <xdr:graphicFrame macro="">
      <xdr:nvGraphicFramePr>
        <xdr:cNvPr id="6" name="Chart 5">
          <a:extLst>
            <a:ext uri="{FF2B5EF4-FFF2-40B4-BE49-F238E27FC236}">
              <a16:creationId xmlns:a16="http://schemas.microsoft.com/office/drawing/2014/main" id="{CAFDBE7D-5F02-4AE3-BEB8-C65F1CA20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186690</xdr:colOff>
      <xdr:row>99</xdr:row>
      <xdr:rowOff>167640</xdr:rowOff>
    </xdr:from>
    <xdr:to>
      <xdr:col>12</xdr:col>
      <xdr:colOff>368046</xdr:colOff>
      <xdr:row>120</xdr:row>
      <xdr:rowOff>16764</xdr:rowOff>
    </xdr:to>
    <xdr:graphicFrame macro="">
      <xdr:nvGraphicFramePr>
        <xdr:cNvPr id="7" name="Chart 6">
          <a:extLst>
            <a:ext uri="{FF2B5EF4-FFF2-40B4-BE49-F238E27FC236}">
              <a16:creationId xmlns:a16="http://schemas.microsoft.com/office/drawing/2014/main" id="{AB3EB0D0-9BD2-4229-8266-0E74224FE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135255</xdr:colOff>
      <xdr:row>130</xdr:row>
      <xdr:rowOff>269875</xdr:rowOff>
    </xdr:from>
    <xdr:to>
      <xdr:col>12</xdr:col>
      <xdr:colOff>320421</xdr:colOff>
      <xdr:row>150</xdr:row>
      <xdr:rowOff>278384</xdr:rowOff>
    </xdr:to>
    <xdr:graphicFrame macro="">
      <xdr:nvGraphicFramePr>
        <xdr:cNvPr id="8" name="Chart 7">
          <a:extLst>
            <a:ext uri="{FF2B5EF4-FFF2-40B4-BE49-F238E27FC236}">
              <a16:creationId xmlns:a16="http://schemas.microsoft.com/office/drawing/2014/main" id="{C91ED23B-85C2-4C79-B9E8-97EE7736C3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250190</xdr:colOff>
      <xdr:row>162</xdr:row>
      <xdr:rowOff>0</xdr:rowOff>
    </xdr:from>
    <xdr:to>
      <xdr:col>12</xdr:col>
      <xdr:colOff>440690</xdr:colOff>
      <xdr:row>182</xdr:row>
      <xdr:rowOff>16002</xdr:rowOff>
    </xdr:to>
    <xdr:graphicFrame macro="">
      <xdr:nvGraphicFramePr>
        <xdr:cNvPr id="14" name="Chart 13">
          <a:extLst>
            <a:ext uri="{FF2B5EF4-FFF2-40B4-BE49-F238E27FC236}">
              <a16:creationId xmlns:a16="http://schemas.microsoft.com/office/drawing/2014/main" id="{F077DEF6-A336-4A39-B141-E0DE81CE0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49530</xdr:colOff>
      <xdr:row>55</xdr:row>
      <xdr:rowOff>186690</xdr:rowOff>
    </xdr:from>
    <xdr:to>
      <xdr:col>12</xdr:col>
      <xdr:colOff>220345</xdr:colOff>
      <xdr:row>58</xdr:row>
      <xdr:rowOff>255905</xdr:rowOff>
    </xdr:to>
    <xdr:sp macro="" textlink="">
      <xdr:nvSpPr>
        <xdr:cNvPr id="4" name="Rectangle 3">
          <a:extLst>
            <a:ext uri="{FF2B5EF4-FFF2-40B4-BE49-F238E27FC236}">
              <a16:creationId xmlns:a16="http://schemas.microsoft.com/office/drawing/2014/main" id="{17003C9D-2C98-7CEE-5E4B-C99078884448}"/>
            </a:ext>
          </a:extLst>
        </xdr:cNvPr>
        <xdr:cNvSpPr/>
      </xdr:nvSpPr>
      <xdr:spPr>
        <a:xfrm>
          <a:off x="224155" y="16156940"/>
          <a:ext cx="8616315" cy="102171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56515</xdr:colOff>
      <xdr:row>86</xdr:row>
      <xdr:rowOff>151130</xdr:rowOff>
    </xdr:from>
    <xdr:to>
      <xdr:col>12</xdr:col>
      <xdr:colOff>215900</xdr:colOff>
      <xdr:row>89</xdr:row>
      <xdr:rowOff>168910</xdr:rowOff>
    </xdr:to>
    <xdr:sp macro="" textlink="">
      <xdr:nvSpPr>
        <xdr:cNvPr id="5" name="Rectangle 4">
          <a:extLst>
            <a:ext uri="{FF2B5EF4-FFF2-40B4-BE49-F238E27FC236}">
              <a16:creationId xmlns:a16="http://schemas.microsoft.com/office/drawing/2014/main" id="{9BDE5130-A521-4AE0-A176-FB947BBC7003}"/>
            </a:ext>
          </a:extLst>
        </xdr:cNvPr>
        <xdr:cNvSpPr/>
      </xdr:nvSpPr>
      <xdr:spPr>
        <a:xfrm>
          <a:off x="227965" y="26916380"/>
          <a:ext cx="8655685" cy="104648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158750</xdr:colOff>
      <xdr:row>117</xdr:row>
      <xdr:rowOff>137583</xdr:rowOff>
    </xdr:from>
    <xdr:to>
      <xdr:col>12</xdr:col>
      <xdr:colOff>308610</xdr:colOff>
      <xdr:row>120</xdr:row>
      <xdr:rowOff>155363</xdr:rowOff>
    </xdr:to>
    <xdr:sp macro="" textlink="">
      <xdr:nvSpPr>
        <xdr:cNvPr id="9" name="Rectangle 8">
          <a:extLst>
            <a:ext uri="{FF2B5EF4-FFF2-40B4-BE49-F238E27FC236}">
              <a16:creationId xmlns:a16="http://schemas.microsoft.com/office/drawing/2014/main" id="{B589354B-0D81-48C8-9E85-0EA0178E127D}"/>
            </a:ext>
          </a:extLst>
        </xdr:cNvPr>
        <xdr:cNvSpPr/>
      </xdr:nvSpPr>
      <xdr:spPr>
        <a:xfrm>
          <a:off x="328083" y="36935833"/>
          <a:ext cx="8648277" cy="103378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48048</xdr:colOff>
      <xdr:row>148</xdr:row>
      <xdr:rowOff>195050</xdr:rowOff>
    </xdr:from>
    <xdr:to>
      <xdr:col>12</xdr:col>
      <xdr:colOff>197908</xdr:colOff>
      <xdr:row>151</xdr:row>
      <xdr:rowOff>171397</xdr:rowOff>
    </xdr:to>
    <xdr:sp macro="" textlink="">
      <xdr:nvSpPr>
        <xdr:cNvPr id="10" name="Rectangle 9">
          <a:extLst>
            <a:ext uri="{FF2B5EF4-FFF2-40B4-BE49-F238E27FC236}">
              <a16:creationId xmlns:a16="http://schemas.microsoft.com/office/drawing/2014/main" id="{455A1627-DA7F-4FEA-BC2B-1F46E2328A54}"/>
            </a:ext>
          </a:extLst>
        </xdr:cNvPr>
        <xdr:cNvSpPr/>
      </xdr:nvSpPr>
      <xdr:spPr>
        <a:xfrm>
          <a:off x="214736" y="47272363"/>
          <a:ext cx="8603297" cy="104790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125095</xdr:colOff>
      <xdr:row>179</xdr:row>
      <xdr:rowOff>179070</xdr:rowOff>
    </xdr:from>
    <xdr:to>
      <xdr:col>12</xdr:col>
      <xdr:colOff>274955</xdr:colOff>
      <xdr:row>182</xdr:row>
      <xdr:rowOff>163037</xdr:rowOff>
    </xdr:to>
    <xdr:sp macro="" textlink="">
      <xdr:nvSpPr>
        <xdr:cNvPr id="2" name="Rectangle 1">
          <a:extLst>
            <a:ext uri="{FF2B5EF4-FFF2-40B4-BE49-F238E27FC236}">
              <a16:creationId xmlns:a16="http://schemas.microsoft.com/office/drawing/2014/main" id="{ED1FCCF3-7FAC-43E5-BC4F-C9DF2116CDF9}"/>
            </a:ext>
          </a:extLst>
        </xdr:cNvPr>
        <xdr:cNvSpPr/>
      </xdr:nvSpPr>
      <xdr:spPr>
        <a:xfrm>
          <a:off x="296545" y="51918870"/>
          <a:ext cx="8646160" cy="106981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B4D1F36-6A49-40B6-94BC-F79595A3A145}" name="TAT_Overall" displayName="TAT_Overall" ref="N7:S27" totalsRowShown="0" headerRowDxfId="448" dataDxfId="446" headerRowBorderDxfId="447" tableBorderDxfId="445" totalsRowBorderDxfId="444">
  <autoFilter ref="N7:S27" xr:uid="{2B4D1F36-6A49-40B6-94BC-F79595A3A145}">
    <filterColumn colId="0" hiddenButton="1"/>
    <filterColumn colId="1" hiddenButton="1"/>
    <filterColumn colId="2" hiddenButton="1"/>
    <filterColumn colId="3" hiddenButton="1"/>
    <filterColumn colId="4" hiddenButton="1"/>
    <filterColumn colId="5" hiddenButton="1"/>
  </autoFilter>
  <tableColumns count="6">
    <tableColumn id="1" xr3:uid="{9EFDAED4-8292-41FF-8408-0B67003C9C3A}" name="Patient" dataDxfId="443"/>
    <tableColumn id="2" xr3:uid="{758213CB-5670-4DFA-BF37-0030B017F8F1}" name="Specimen Transfer" dataDxfId="442">
      <calculatedColumnFormula>IF(AND('6b. LAB REGISTER - PL'!F11&lt;&gt;0, '5b. PRESUMPTIVE REGISTER -  PL'!G14&lt;&gt;0),'6b. LAB REGISTER - PL'!F11-'5b. PRESUMPTIVE REGISTER -  PL'!G14, "-")</calculatedColumnFormula>
    </tableColumn>
    <tableColumn id="3" xr3:uid="{9C4D8E1A-F4F8-4E69-851B-A69A14A6FC8B}" name="Lab Turnaround" dataDxfId="441">
      <calculatedColumnFormula>IF(AND('6b. LAB REGISTER - PL'!F11&lt;&gt;0,'6b. LAB REGISTER - PL'!N11&lt;&gt;0),'6b. LAB REGISTER - PL'!N11-'6b. LAB REGISTER - PL'!F11,"-")</calculatedColumnFormula>
    </tableColumn>
    <tableColumn id="4" xr3:uid="{B3AAD63D-176D-4DD2-9ECF-93FE84EE7513}" name="Diagnosis" dataDxfId="440">
      <calculatedColumnFormula>IF(AND('5b. PRESUMPTIVE REGISTER -  PL'!I14&lt;&gt;0,'5b. PRESUMPTIVE REGISTER -  PL'!G14&lt;&gt;0), '5b. PRESUMPTIVE REGISTER -  PL'!I14-'5b. PRESUMPTIVE REGISTER -  PL'!G14, "-")</calculatedColumnFormula>
    </tableColumn>
    <tableColumn id="5" xr3:uid="{076B5F51-0645-43DC-943D-F8DA04EA8965}" name="Treatment Initiation" dataDxfId="439">
      <calculatedColumnFormula>IF(AND('7b. TB TX REGISTER - PL'!G8&lt;&gt;0,'5b. PRESUMPTIVE REGISTER -  PL'!G14&lt;&gt;0),'7b. TB TX REGISTER - PL'!G8 - '5b. PRESUMPTIVE REGISTER -  PL'!G14,"-")</calculatedColumnFormula>
    </tableColumn>
    <tableColumn id="6" xr3:uid="{3308C58A-ACB0-407F-85FA-987D0B9557A4}" name="TPT Initiation" dataDxfId="438">
      <calculatedColumnFormula>IF(AND('8b. TPT REGISTER - PL'!H8&lt;&gt;0,'8b. TPT REGISTER - PL'!D8&lt;&gt;0),'8b. TPT REGISTER - PL'!H8 - '8b. TPT REGISTER - PL'!D8, "-")</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9000000}" name="PLLab" displayName="PLLab" ref="B10:N31" totalsRowCount="1" headerRowDxfId="135" dataDxfId="133" headerRowBorderDxfId="134">
  <autoFilter ref="B10:N30"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900-000001000000}" name="Patient" totalsRowLabel="Complete " dataDxfId="132" totalsRowDxfId="131"/>
    <tableColumn id="2" xr3:uid="{00000000-0010-0000-0900-000002000000}" name="Available in Lab Register?" totalsRowFunction="custom" dataDxfId="130" totalsRowDxfId="129">
      <totalsRowFormula>COUNTA(PLLab[Available in Lab Register?])</totalsRowFormula>
    </tableColumn>
    <tableColumn id="3" xr3:uid="{00000000-0010-0000-0900-000003000000}" name="Sex" totalsRowFunction="custom" dataDxfId="128" totalsRowDxfId="127">
      <totalsRowFormula>COUNTA(PLLab[Sex])</totalsRowFormula>
    </tableColumn>
    <tableColumn id="4" xr3:uid="{00000000-0010-0000-0900-000004000000}" name="Age_x000a_(&lt;15, 15+)" totalsRowFunction="custom" dataDxfId="126" totalsRowDxfId="125">
      <totalsRowFormula>COUNTA(PLLab[Age
(&lt;15, 15+)])</totalsRowFormula>
    </tableColumn>
    <tableColumn id="8" xr3:uid="{00000000-0010-0000-0900-000008000000}" name="Date specimen received by lab*" totalsRowFunction="custom" dataDxfId="124" totalsRowDxfId="123">
      <totalsRowFormula>COUNTA(PLLab[Date specimen received by lab*])</totalsRowFormula>
    </tableColumn>
    <tableColumn id="9" xr3:uid="{00000000-0010-0000-0900-000009000000}" name="Type of Specimen" totalsRowFunction="custom" dataDxfId="122" totalsRowDxfId="121">
      <totalsRowFormula>COUNTA(PLLab[Type of Specimen])</totalsRowFormula>
    </tableColumn>
    <tableColumn id="10" xr3:uid="{00000000-0010-0000-0900-00000A000000}" name="Type of Test" totalsRowFunction="custom" dataDxfId="120" totalsRowDxfId="119">
      <totalsRowFormula>COUNTA(PLLab[Type of Test])</totalsRowFormula>
    </tableColumn>
    <tableColumn id="11" xr3:uid="{00000000-0010-0000-0900-00000B000000}" name="AFB Result" totalsRowFunction="custom" dataDxfId="118" totalsRowDxfId="117">
      <totalsRowFormula>COUNTA(PLLab[AFB Result])</totalsRowFormula>
    </tableColumn>
    <tableColumn id="13" xr3:uid="{00000000-0010-0000-0900-00000D000000}" name="mWRD MTB Result" totalsRowFunction="custom" dataDxfId="116" totalsRowDxfId="115">
      <totalsRowFormula>COUNTA(PLLab[mWRD MTB Result])</totalsRowFormula>
    </tableColumn>
    <tableColumn id="14" xr3:uid="{00000000-0010-0000-0900-00000E000000}" name="mWRD RIF Result" totalsRowFunction="custom" dataDxfId="114" totalsRowDxfId="113">
      <totalsRowFormula>COUNTA(PLLab[mWRD RIF Result])</totalsRowFormula>
    </tableColumn>
    <tableColumn id="15" xr3:uid="{00000000-0010-0000-0900-00000F000000}" name="Error/Invalid/Incomplete Test" totalsRowFunction="custom" dataDxfId="112" totalsRowDxfId="111">
      <totalsRowFormula>COUNTA(PLLab[Error/Invalid/Incomplete Test])</totalsRowFormula>
    </tableColumn>
    <tableColumn id="16" xr3:uid="{00000000-0010-0000-0900-000010000000}" name="LAM Result" totalsRowFunction="custom" dataDxfId="110" totalsRowDxfId="109">
      <totalsRowFormula>COUNTA(PLLab[LAM Result])</totalsRowFormula>
    </tableColumn>
    <tableColumn id="17" xr3:uid="{00000000-0010-0000-0900-000011000000}" name="Date Lab Results Released*" totalsRowFunction="custom" dataDxfId="108" totalsRowDxfId="107">
      <totalsRowFormula>COUNTA(PLLab[Date Lab Results Released*])</totalsRowFormula>
    </tableColumn>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AggTreatmentP1" displayName="AggTreatmentP1" ref="B10:R61" totalsRowCount="1" headerRowDxfId="106" dataDxfId="104" headerRowBorderDxfId="105" tableBorderDxfId="103">
  <tableColumns count="17">
    <tableColumn id="1" xr3:uid="{00000000-0010-0000-0A00-000001000000}" name="Register Page #" totalsRowLabel="Total" dataDxfId="102" totalsRowDxfId="101"/>
    <tableColumn id="2" xr3:uid="{00000000-0010-0000-0A00-000002000000}" name="Total Patients " totalsRowFunction="custom" dataDxfId="100" totalsRowDxfId="99">
      <totalsRowFormula>SUM(AggTreatmentP1[[Total Patients ]])</totalsRowFormula>
    </tableColumn>
    <tableColumn id="5" xr3:uid="{00000000-0010-0000-0A00-000005000000}" name="Age 0-14" totalsRowFunction="custom" dataDxfId="98" totalsRowDxfId="97">
      <totalsRowFormula>SUM(AggTreatmentP1[Age 0-14])</totalsRowFormula>
    </tableColumn>
    <tableColumn id="6" xr3:uid="{00000000-0010-0000-0A00-000006000000}" name="Age 15+" totalsRowFunction="custom" dataDxfId="96" totalsRowDxfId="95">
      <totalsRowFormula>SUM(AggTreatmentP1[Age 15+])</totalsRowFormula>
    </tableColumn>
    <tableColumn id="14" xr3:uid="{00000000-0010-0000-0A00-00000E000000}" name="Smear Positive (+/ ++/ +++)" totalsRowFunction="custom" dataDxfId="94" totalsRowDxfId="93">
      <totalsRowFormula>SUM(AggTreatmentP1[Smear Positive (+/ ++/ +++)])</totalsRowFormula>
    </tableColumn>
    <tableColumn id="15" xr3:uid="{00000000-0010-0000-0A00-00000F000000}" name="Smear Negative (-)" totalsRowFunction="custom" dataDxfId="92" totalsRowDxfId="91">
      <totalsRowFormula>SUM(AggTreatmentP1[Smear Negative (-)])</totalsRowFormula>
    </tableColumn>
    <tableColumn id="16" xr3:uid="{00000000-0010-0000-0A00-000010000000}" name="MTB Not Detected_x000a_(N)" totalsRowFunction="custom" dataDxfId="90" totalsRowDxfId="89">
      <totalsRowFormula>SUM(AggTreatmentP1[MTB Not Detected
(N)])</totalsRowFormula>
    </tableColumn>
    <tableColumn id="17" xr3:uid="{00000000-0010-0000-0A00-000011000000}" name="MTB Detected_x000a_(including trace), _x000a_RIF Resistance not Detected_x000a_(T)" totalsRowFunction="custom" dataDxfId="88" totalsRowDxfId="87">
      <totalsRowFormula>SUM(AggTreatmentP1[MTB Detected
(including trace), 
RIF Resistance not Detected
(T)])</totalsRowFormula>
    </tableColumn>
    <tableColumn id="18" xr3:uid="{00000000-0010-0000-0A00-000012000000}" name="MTB Detected (including trace), _x000a_RIF Resistance Detected_x000a_(RR)" totalsRowFunction="custom" dataDxfId="86" totalsRowDxfId="85">
      <totalsRowFormula>SUM(AggTreatmentP1[MTB Detected (including trace), 
RIF Resistance Detected
(RR)])</totalsRowFormula>
    </tableColumn>
    <tableColumn id="19" xr3:uid="{00000000-0010-0000-0A00-000013000000}" name="MTB Detected (including trace), _x000a_RIF Resistance Indeterminate_x000a_(TI)" totalsRowFunction="custom" dataDxfId="84" totalsRowDxfId="83">
      <totalsRowFormula>SUM(AggTreatmentP1[MTB Detected (including trace), 
RIF Resistance Indeterminate
(TI)])</totalsRowFormula>
    </tableColumn>
    <tableColumn id="20" xr3:uid="{00000000-0010-0000-0A00-000014000000}" name="Invalid_x000a_No Result Error_x000a_(I)" totalsRowFunction="custom" dataDxfId="82" totalsRowDxfId="81">
      <totalsRowFormula>SUM(AggTreatmentP1[Invalid
No Result Error
(I)])</totalsRowFormula>
    </tableColumn>
    <tableColumn id="29" xr3:uid="{00000000-0010-0000-0A00-00001D000000}" name="Negative (Neg)" totalsRowFunction="custom" dataDxfId="80" totalsRowDxfId="79">
      <totalsRowFormula>SUM(AggTreatmentP1[Negative (Neg)])</totalsRowFormula>
    </tableColumn>
    <tableColumn id="30" xr3:uid="{00000000-0010-0000-0A00-00001E000000}" name="Known HIV Positive (KPos)" totalsRowFunction="custom" dataDxfId="78" totalsRowDxfId="77">
      <totalsRowFormula>SUM(AggTreatmentP1[Known HIV Positive (KPos)])</totalsRowFormula>
    </tableColumn>
    <tableColumn id="31" xr3:uid="{00000000-0010-0000-0A00-00001F000000}" name="Newly Tested HIV Positive (NPos)" totalsRowFunction="custom" dataDxfId="76" totalsRowDxfId="75">
      <totalsRowFormula>SUM(AggTreatmentP1[Newly Tested HIV Positive (NPos)])</totalsRowFormula>
    </tableColumn>
    <tableColumn id="32" xr3:uid="{00000000-0010-0000-0A00-000020000000}" name="Unknown (Unk)" totalsRowFunction="custom" dataDxfId="74" totalsRowDxfId="73">
      <totalsRowFormula>SUM(AggTreatmentP1[Unknown (Unk)])</totalsRowFormula>
    </tableColumn>
    <tableColumn id="28" xr3:uid="{00000000-0010-0000-0A00-00001C000000}" name="Enrolled in ART" totalsRowFunction="custom" dataDxfId="72" totalsRowDxfId="71">
      <totalsRowFormula>SUM(AggTreatmentP1[Enrolled in ART])</totalsRowFormula>
    </tableColumn>
    <tableColumn id="33" xr3:uid="{00000000-0010-0000-0A00-000021000000}" name="Transferred Out" totalsRowFunction="custom" dataDxfId="70" totalsRowDxfId="69">
      <totalsRowFormula>SUM(AggTreatmentP1[Transferred Out])</totalsRowFormula>
    </tableColumn>
  </tableColumns>
  <tableStyleInfo name="TableStyleLight1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PLTreatment" displayName="PLTreatment" ref="B7:I28" totalsRowCount="1" headerRowDxfId="68" headerRowBorderDxfId="67" tableBorderDxfId="66" totalsRowBorderDxfId="65">
  <autoFilter ref="B7:I27" xr:uid="{00000000-0009-0000-0100-00001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D00-000001000000}" name="PATIENT" totalsRowLabel="Complete" dataDxfId="64" totalsRowDxfId="63"/>
    <tableColumn id="2" xr3:uid="{00000000-0010-0000-0D00-000002000000}" name="Available in Register?" totalsRowFunction="custom" dataDxfId="62" totalsRowDxfId="61">
      <totalsRowFormula>COUNTA(PLTreatment[Available in Register?])</totalsRowFormula>
    </tableColumn>
    <tableColumn id="3" xr3:uid="{00000000-0010-0000-0D00-000003000000}" name="Date of Registration*" totalsRowFunction="custom" dataDxfId="60" totalsRowDxfId="59">
      <totalsRowFormula>COUNTA(PLTreatment[Date of Registration*])</totalsRowFormula>
    </tableColumn>
    <tableColumn id="5" xr3:uid="{00000000-0010-0000-0D00-000005000000}" name="Sex" totalsRowFunction="custom" dataDxfId="58" totalsRowDxfId="57">
      <totalsRowFormula>COUNTA(PLTreatment[Sex])</totalsRowFormula>
    </tableColumn>
    <tableColumn id="6" xr3:uid="{00000000-0010-0000-0D00-000006000000}" name="Age _x000a_(&lt;15, 15+)" totalsRowFunction="custom" dataDxfId="56" totalsRowDxfId="55">
      <totalsRowFormula>COUNTA(PLTreatment[Age 
(&lt;15, 15+)])</totalsRowFormula>
    </tableColumn>
    <tableColumn id="7" xr3:uid="{00000000-0010-0000-0D00-000007000000}" name="Date Treatment Started*" totalsRowFunction="custom" dataDxfId="54" totalsRowDxfId="53">
      <totalsRowFormula>COUNTA(PLTreatment[Date Treatment Started*])</totalsRowFormula>
    </tableColumn>
    <tableColumn id="11" xr3:uid="{00000000-0010-0000-0D00-00000B000000}" name="mWRD MTB Result" totalsRowFunction="custom" dataDxfId="52" totalsRowDxfId="51">
      <totalsRowFormula>COUNTA(PLTreatment[mWRD MTB Result])</totalsRowFormula>
    </tableColumn>
    <tableColumn id="12" xr3:uid="{00000000-0010-0000-0D00-00000C000000}" name="mWRD RIF Result" totalsRowFunction="custom" dataDxfId="50" totalsRowDxfId="49">
      <totalsRowFormula>COUNTA(PLTreatment[mWRD RIF Result])</totalsRowFormula>
    </tableColumn>
  </tableColumns>
  <tableStyleInfo name="TableStyleLight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AggTPTP1" displayName="AggTPTP1" ref="B8:L59" totalsRowCount="1" headerRowDxfId="48" dataDxfId="46" headerRowBorderDxfId="47" tableBorderDxfId="45">
  <tableColumns count="11">
    <tableColumn id="1" xr3:uid="{00000000-0010-0000-0E00-000001000000}" name="Register Page #" totalsRowLabel="Total" dataDxfId="44" totalsRowDxfId="43"/>
    <tableColumn id="2" xr3:uid="{00000000-0010-0000-0E00-000002000000}" name="Total Patients " totalsRowFunction="custom" dataDxfId="42" totalsRowDxfId="41">
      <totalsRowFormula>SUM(AggTPTP1[[Total Patients ]])</totalsRowFormula>
    </tableColumn>
    <tableColumn id="5" xr3:uid="{00000000-0010-0000-0E00-000005000000}" name="Age 0-14" totalsRowFunction="custom" dataDxfId="40" totalsRowDxfId="39">
      <totalsRowFormula>SUM(AggTPTP1[Age 0-14])</totalsRowFormula>
    </tableColumn>
    <tableColumn id="6" xr3:uid="{00000000-0010-0000-0E00-000006000000}" name="Age 15+" totalsRowFunction="custom" dataDxfId="38" totalsRowDxfId="37">
      <totalsRowFormula>SUM(AggTPTP1[Age 15+])</totalsRowFormula>
    </tableColumn>
    <tableColumn id="7" xr3:uid="{00000000-0010-0000-0E00-000007000000}" name="PLHIV newly enrolled into HIV care and treatment" totalsRowFunction="custom" dataDxfId="36" totalsRowDxfId="35">
      <totalsRowFormula>SUM(AggTPTP1[PLHIV newly enrolled into HIV care and treatment])</totalsRowFormula>
    </tableColumn>
    <tableColumn id="8" xr3:uid="{00000000-0010-0000-0E00-000008000000}" name="PLHIV on follow-up visit for HIV care and treatment " totalsRowFunction="custom" dataDxfId="34" totalsRowDxfId="33">
      <totalsRowFormula>SUM(AggTPTP1[PLHIV on follow-up visit for HIV care and treatment ])</totalsRowFormula>
    </tableColumn>
    <tableColumn id="9" xr3:uid="{00000000-0010-0000-0E00-000009000000}" name="3HP" totalsRowFunction="sum" totalsRowDxfId="32"/>
    <tableColumn id="4" xr3:uid="{00000000-0010-0000-0E00-000004000000}" name="6H" totalsRowFunction="sum" totalsRowDxfId="31"/>
    <tableColumn id="3" xr3:uid="{00000000-0010-0000-0E00-000003000000}" name="Other" totalsRowFunction="sum" totalsRowDxfId="30"/>
    <tableColumn id="14" xr3:uid="{00000000-0010-0000-0E00-00000E000000}" name="TPT Completed" totalsRowFunction="custom" dataDxfId="29" totalsRowDxfId="28">
      <totalsRowFormula>SUM(AggTPTP1[TPT Completed])</totalsRowFormula>
    </tableColumn>
    <tableColumn id="17" xr3:uid="{00000000-0010-0000-0E00-000011000000}" name="Transferred out" totalsRowFunction="custom" dataDxfId="27" totalsRowDxfId="26">
      <totalsRowFormula>SUM(AggTPTP1[Transferred out])</totalsRowFormula>
    </tableColumn>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PLTPT" displayName="PLTPT" ref="B7:K28" totalsRowCount="1" headerRowDxfId="25" dataDxfId="23" totalsRowDxfId="21" headerRowBorderDxfId="24" tableBorderDxfId="22" totalsRowBorderDxfId="20">
  <autoFilter ref="B7:K27" xr:uid="{00000000-0009-0000-0100-000010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100-000001000000}" name="PATIENT" totalsRowLabel="Complete" dataDxfId="19" totalsRowDxfId="18"/>
    <tableColumn id="10" xr3:uid="{93C27198-B601-403B-BBB8-F2EEDC0C97F5}" name="Entry Point" dataDxfId="17" totalsRowDxfId="16"/>
    <tableColumn id="4" xr3:uid="{00000000-0010-0000-1100-000004000000}" name="Date of Negative TB Test" dataDxfId="15" totalsRowDxfId="14"/>
    <tableColumn id="2" xr3:uid="{00000000-0010-0000-1100-000002000000}" name="Available in TPT Register?" totalsRowFunction="custom" dataDxfId="13" totalsRowDxfId="12">
      <totalsRowFormula>COUNTA(PLTPT[Available in TPT Register?])</totalsRowFormula>
    </tableColumn>
    <tableColumn id="5" xr3:uid="{00000000-0010-0000-1100-000005000000}" name="Sex" totalsRowFunction="custom" dataDxfId="11" totalsRowDxfId="10">
      <totalsRowFormula>COUNTA(PLTPT[Sex])</totalsRowFormula>
    </tableColumn>
    <tableColumn id="6" xr3:uid="{00000000-0010-0000-1100-000006000000}" name="Age _x000a_(&lt;15, 15+)" totalsRowFunction="custom" dataDxfId="9" totalsRowDxfId="8">
      <totalsRowFormula>COUNTA(PLTPT[Age 
(&lt;15, 15+)])</totalsRowFormula>
    </tableColumn>
    <tableColumn id="7" xr3:uid="{00000000-0010-0000-1100-000007000000}" name="Date TPT Started*" totalsRowFunction="custom" dataDxfId="7" totalsRowDxfId="6">
      <totalsRowFormula>COUNTA(PLTPT[Date TPT Started*])</totalsRowFormula>
    </tableColumn>
    <tableColumn id="8" xr3:uid="{00000000-0010-0000-1100-000008000000}" name="New/Existing ART Patient" totalsRowFunction="custom" dataDxfId="5" totalsRowDxfId="4">
      <totalsRowFormula>COUNTA(PLTPT[New/Existing ART Patient])</totalsRowFormula>
    </tableColumn>
    <tableColumn id="3" xr3:uid="{00000000-0010-0000-1100-000003000000}" name="TPT Regimen" totalsRowFunction="custom" dataDxfId="3" totalsRowDxfId="2">
      <totalsRowFormula>COUNTA(PLTPT[TPT Regimen])</totalsRowFormula>
    </tableColumn>
    <tableColumn id="9" xr3:uid="{00000000-0010-0000-1100-000009000000}" name="TPT Outcome " totalsRowFunction="custom" dataDxfId="1" totalsRowDxfId="0">
      <totalsRowFormula>COUNTA(PLTPT[[TPT Outcome ]])</totalsRowFormula>
    </tableColumn>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H6:Q26" totalsRowShown="0" tableBorderDxfId="424">
  <autoFilter ref="H6:Q26"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Column1" dataDxfId="423"/>
    <tableColumn id="2" xr3:uid="{00000000-0010-0000-0100-000002000000}" name="Column2" dataDxfId="422">
      <calculatedColumnFormula>'5b. PRESUMPTIVE REGISTER -  PL'!D14</calculatedColumnFormula>
    </tableColumn>
    <tableColumn id="3" xr3:uid="{00000000-0010-0000-0100-000003000000}" name="Column3" dataDxfId="421">
      <calculatedColumnFormula>'6b. LAB REGISTER - PL'!D11</calculatedColumnFormula>
    </tableColumn>
    <tableColumn id="4" xr3:uid="{00000000-0010-0000-0100-000004000000}" name="Column4" dataDxfId="420">
      <calculatedColumnFormula>'7b. TB TX REGISTER - PL'!E8</calculatedColumnFormula>
    </tableColumn>
    <tableColumn id="5" xr3:uid="{00000000-0010-0000-0100-000005000000}" name="Column5" dataDxfId="419">
      <calculatedColumnFormula>'5b. PRESUMPTIVE REGISTER -  PL'!E14</calculatedColumnFormula>
    </tableColumn>
    <tableColumn id="6" xr3:uid="{00000000-0010-0000-0100-000006000000}" name="Column6" dataDxfId="418">
      <calculatedColumnFormula>'6b. LAB REGISTER - PL'!E11</calculatedColumnFormula>
    </tableColumn>
    <tableColumn id="7" xr3:uid="{00000000-0010-0000-0100-000007000000}" name="Column7" dataDxfId="417">
      <calculatedColumnFormula>'7b. TB TX REGISTER - PL'!F8</calculatedColumnFormula>
    </tableColumn>
    <tableColumn id="8" xr3:uid="{00000000-0010-0000-0100-000008000000}" name="Column8" dataDxfId="416">
      <calculatedColumnFormula>'5b. PRESUMPTIVE REGISTER -  PL'!L14</calculatedColumnFormula>
    </tableColumn>
    <tableColumn id="9" xr3:uid="{00000000-0010-0000-0100-000009000000}" name="Column9" dataDxfId="415">
      <calculatedColumnFormula>'6b. LAB REGISTER - PL'!J11</calculatedColumnFormula>
    </tableColumn>
    <tableColumn id="10" xr3:uid="{00000000-0010-0000-0100-00000A000000}" name="Column10" dataDxfId="414">
      <calculatedColumnFormula>'7b. TB TX REGISTER - PL'!H8</calculatedColumnFormula>
    </tableColumn>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AggPresumptiveP2" displayName="AggPresumptiveP2" ref="B49:T80" totalsRowCount="1" headerRowDxfId="413" dataDxfId="412" totalsRowDxfId="410" tableBorderDxfId="411">
  <tableColumns count="19">
    <tableColumn id="1" xr3:uid="{00000000-0010-0000-0200-000001000000}" name="Register Page #" totalsRowLabel="Total" dataDxfId="409" totalsRowDxfId="408"/>
    <tableColumn id="2" xr3:uid="{00000000-0010-0000-0200-000002000000}" name="Total Presumptive TB" totalsRowFunction="custom" dataDxfId="407" totalsRowDxfId="406">
      <totalsRowFormula>SUM(AggPresumptiveP2[Total Presumptive TB])</totalsRowFormula>
    </tableColumn>
    <tableColumn id="3" xr3:uid="{00000000-0010-0000-0200-000003000000}" name="Age 0-14" totalsRowFunction="custom" dataDxfId="405" totalsRowDxfId="404">
      <totalsRowFormula>SUM(AggPresumptiveP2[Age 0-14])</totalsRowFormula>
    </tableColumn>
    <tableColumn id="4" xr3:uid="{00000000-0010-0000-0200-000004000000}" name="Age 15+ " totalsRowFunction="custom" dataDxfId="403" totalsRowDxfId="402">
      <totalsRowFormula>SUM(AggPresumptiveP2[Age 15+ ])</totalsRowFormula>
    </tableColumn>
    <tableColumn id="22" xr3:uid="{00000000-0010-0000-0200-000016000000}" name="Number Specimens Collected" totalsRowFunction="custom" dataDxfId="401" totalsRowDxfId="400">
      <totalsRowFormula>SUM(AggPresumptiveP2[Number Specimens Collected])</totalsRowFormula>
    </tableColumn>
    <tableColumn id="5" xr3:uid="{00000000-0010-0000-0200-000005000000}" name="Unable to Produce" totalsRowFunction="sum" dataDxfId="399" totalsRowDxfId="398"/>
    <tableColumn id="15" xr3:uid="{00000000-0010-0000-0200-00000F000000}" name="HIV Positive" totalsRowFunction="custom" dataDxfId="397" totalsRowDxfId="396">
      <totalsRowFormula>SUM(AggPresumptiveP2[HIV Positive])</totalsRowFormula>
    </tableColumn>
    <tableColumn id="16" xr3:uid="{00000000-0010-0000-0200-000010000000}" name="HIV Negative" totalsRowFunction="custom" dataDxfId="395" totalsRowDxfId="394">
      <totalsRowFormula>SUM(AggPresumptiveP2[HIV Negative])</totalsRowFormula>
    </tableColumn>
    <tableColumn id="19" xr3:uid="{00000000-0010-0000-0200-000013000000}" name="Not Tested" totalsRowFunction="custom" dataDxfId="393" totalsRowDxfId="392">
      <totalsRowFormula>SUM(AggPresumptiveP2[Not Tested])</totalsRowFormula>
    </tableColumn>
    <tableColumn id="7" xr3:uid="{00000000-0010-0000-0200-000007000000}" name="AFB (-)" totalsRowFunction="custom" dataDxfId="391" totalsRowDxfId="390">
      <totalsRowFormula>SUM(AggPresumptiveP2[AFB (-)])</totalsRowFormula>
    </tableColumn>
    <tableColumn id="8" xr3:uid="{00000000-0010-0000-0200-000008000000}" name="AFB (+)" totalsRowFunction="custom" dataDxfId="389" totalsRowDxfId="388">
      <totalsRowFormula>SUM(AggPresumptiveP2[AFB (+)])</totalsRowFormula>
    </tableColumn>
    <tableColumn id="9" xr3:uid="{00000000-0010-0000-0200-000009000000}" name="MTB Not Detected_x000a_(N)" totalsRowFunction="custom" dataDxfId="387" totalsRowDxfId="386">
      <totalsRowFormula>SUM(AggPresumptiveP2[MTB Not Detected
(N)])</totalsRowFormula>
    </tableColumn>
    <tableColumn id="10" xr3:uid="{00000000-0010-0000-0200-00000A000000}" name="MTB Detected_x000a_(including trace), _x000a_RIF Resistance not Detected_x000a_(T)" totalsRowFunction="custom" dataDxfId="385" totalsRowDxfId="384">
      <totalsRowFormula>SUM(AggPresumptiveP2[MTB Detected
(including trace), 
RIF Resistance not Detected
(T)])</totalsRowFormula>
    </tableColumn>
    <tableColumn id="11" xr3:uid="{00000000-0010-0000-0200-00000B000000}" name="MTB Detected (including trace), _x000a_RIF Resistance Detected_x000a_(RR)" totalsRowFunction="custom" dataDxfId="383" totalsRowDxfId="382">
      <totalsRowFormula>SUM(AggPresumptiveP2[MTB Detected (including trace), 
RIF Resistance Detected
(RR)])</totalsRowFormula>
    </tableColumn>
    <tableColumn id="12" xr3:uid="{00000000-0010-0000-0200-00000C000000}" name="MTB Detected (including trace), _x000a_RIF Resistance Indeterminate_x000a_(TI)" totalsRowFunction="custom" dataDxfId="381" totalsRowDxfId="380">
      <totalsRowFormula>SUM(AggPresumptiveP2[MTB Detected (including trace), 
RIF Resistance Indeterminate
(TI)])</totalsRowFormula>
    </tableColumn>
    <tableColumn id="13" xr3:uid="{00000000-0010-0000-0200-00000D000000}" name="Invalid_x000a_No Result Error_x000a_(I)" totalsRowFunction="custom" dataDxfId="379" totalsRowDxfId="378">
      <totalsRowFormula>SUM(AggPresumptiveP2[Invalid
No Result Error
(I)])</totalsRowFormula>
    </tableColumn>
    <tableColumn id="18" xr3:uid="{00000000-0010-0000-0200-000012000000}" name="LAM Positive" totalsRowFunction="custom" dataDxfId="377" totalsRowDxfId="376">
      <totalsRowFormula>SUM(AggPresumptiveP2[LAM Positive])</totalsRowFormula>
    </tableColumn>
    <tableColumn id="17" xr3:uid="{00000000-0010-0000-0200-000011000000}" name="LAM Negative" totalsRowFunction="custom" dataDxfId="375" totalsRowDxfId="374">
      <totalsRowFormula>SUM(AggPresumptiveP2[LAM Negative])</totalsRowFormula>
    </tableColumn>
    <tableColumn id="14" xr3:uid="{00000000-0010-0000-0200-00000E000000}" name="Invalid" totalsRowFunction="custom" dataDxfId="373" totalsRowDxfId="372">
      <totalsRowFormula>SUM(AggPresumptiveP2[Invalid])</totalsRowFormula>
    </tableColumn>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AggPresumptiveP3" displayName="AggPresumptiveP3" ref="B86:T117" totalsRowCount="1" headerRowDxfId="371" dataDxfId="370" totalsRowDxfId="368" tableBorderDxfId="369">
  <tableColumns count="19">
    <tableColumn id="1" xr3:uid="{00000000-0010-0000-0300-000001000000}" name="Register Page #" totalsRowLabel="Total" dataDxfId="367" totalsRowDxfId="366"/>
    <tableColumn id="2" xr3:uid="{00000000-0010-0000-0300-000002000000}" name="Total Presumptive TB" totalsRowFunction="custom" dataDxfId="365" totalsRowDxfId="364">
      <totalsRowFormula>SUM(AggPresumptiveP3[Total Presumptive TB])</totalsRowFormula>
    </tableColumn>
    <tableColumn id="3" xr3:uid="{00000000-0010-0000-0300-000003000000}" name="Age 0-14" totalsRowFunction="custom" dataDxfId="363" totalsRowDxfId="362">
      <totalsRowFormula>SUM(AggPresumptiveP3[Age 0-14])</totalsRowFormula>
    </tableColumn>
    <tableColumn id="4" xr3:uid="{00000000-0010-0000-0300-000004000000}" name="Age 15+ " totalsRowFunction="custom" dataDxfId="361" totalsRowDxfId="360">
      <totalsRowFormula>SUM(AggPresumptiveP3[Age 15+ ])</totalsRowFormula>
    </tableColumn>
    <tableColumn id="22" xr3:uid="{00000000-0010-0000-0300-000016000000}" name="Number Specimens Collected" totalsRowFunction="custom" dataDxfId="359" totalsRowDxfId="358">
      <totalsRowFormula>SUM(AggPresumptiveP3[Number Specimens Collected])</totalsRowFormula>
    </tableColumn>
    <tableColumn id="5" xr3:uid="{00000000-0010-0000-0300-000005000000}" name="Unable to Produce" totalsRowFunction="sum" dataDxfId="357" totalsRowDxfId="356"/>
    <tableColumn id="15" xr3:uid="{00000000-0010-0000-0300-00000F000000}" name="HIV Positive" totalsRowFunction="custom" dataDxfId="355" totalsRowDxfId="354">
      <totalsRowFormula>SUM(AggPresumptiveP3[HIV Positive])</totalsRowFormula>
    </tableColumn>
    <tableColumn id="16" xr3:uid="{00000000-0010-0000-0300-000010000000}" name="HIV Negative" totalsRowFunction="custom" dataDxfId="353" totalsRowDxfId="352">
      <totalsRowFormula>SUM(AggPresumptiveP3[HIV Negative])</totalsRowFormula>
    </tableColumn>
    <tableColumn id="19" xr3:uid="{00000000-0010-0000-0300-000013000000}" name="Not Tested" totalsRowFunction="custom" dataDxfId="351" totalsRowDxfId="350">
      <totalsRowFormula>SUM(AggPresumptiveP3[Not Tested])</totalsRowFormula>
    </tableColumn>
    <tableColumn id="7" xr3:uid="{00000000-0010-0000-0300-000007000000}" name="AFB (-)" totalsRowFunction="custom" dataDxfId="349" totalsRowDxfId="348">
      <totalsRowFormula>SUM(AggPresumptiveP3[AFB (-)])</totalsRowFormula>
    </tableColumn>
    <tableColumn id="8" xr3:uid="{00000000-0010-0000-0300-000008000000}" name="AFB (+)" totalsRowFunction="custom" dataDxfId="347" totalsRowDxfId="346">
      <totalsRowFormula>SUM(AggPresumptiveP3[AFB (+)])</totalsRowFormula>
    </tableColumn>
    <tableColumn id="9" xr3:uid="{00000000-0010-0000-0300-000009000000}" name="MTB Not Detected_x000a_(N)" totalsRowFunction="custom" dataDxfId="345" totalsRowDxfId="344">
      <totalsRowFormula>SUM(AggPresumptiveP3[MTB Not Detected
(N)])</totalsRowFormula>
    </tableColumn>
    <tableColumn id="10" xr3:uid="{00000000-0010-0000-0300-00000A000000}" name="MTB Detected_x000a_(including trace), _x000a_RIF Resistance not Detected_x000a_(T)" totalsRowFunction="custom" dataDxfId="343" totalsRowDxfId="342">
      <totalsRowFormula>SUM(AggPresumptiveP3[MTB Detected
(including trace), 
RIF Resistance not Detected
(T)])</totalsRowFormula>
    </tableColumn>
    <tableColumn id="11" xr3:uid="{00000000-0010-0000-0300-00000B000000}" name="MTB Detected (including trace), _x000a_RIF Resistance Detected_x000a_(RR)" totalsRowFunction="custom" dataDxfId="341" totalsRowDxfId="340">
      <totalsRowFormula>SUM(AggPresumptiveP3[MTB Detected (including trace), 
RIF Resistance Detected
(RR)])</totalsRowFormula>
    </tableColumn>
    <tableColumn id="12" xr3:uid="{00000000-0010-0000-0300-00000C000000}" name="MTB Detected (including trace), _x000a_RIF Resistance Indeterminate_x000a_(TI)" totalsRowFunction="custom" dataDxfId="339" totalsRowDxfId="338">
      <totalsRowFormula>SUM(AggPresumptiveP3[MTB Detected (including trace), 
RIF Resistance Indeterminate
(TI)])</totalsRowFormula>
    </tableColumn>
    <tableColumn id="13" xr3:uid="{00000000-0010-0000-0300-00000D000000}" name="Invalid_x000a_No Result Error_x000a_(I)" totalsRowFunction="custom" dataDxfId="337" totalsRowDxfId="336">
      <totalsRowFormula>SUM(AggPresumptiveP3[Invalid
No Result Error
(I)])</totalsRowFormula>
    </tableColumn>
    <tableColumn id="18" xr3:uid="{00000000-0010-0000-0300-000012000000}" name="LAM Positive" totalsRowFunction="custom" dataDxfId="335" totalsRowDxfId="334">
      <totalsRowFormula>SUM(AggPresumptiveP3[LAM Positive])</totalsRowFormula>
    </tableColumn>
    <tableColumn id="17" xr3:uid="{00000000-0010-0000-0300-000011000000}" name="LAM Negative" totalsRowFunction="custom" dataDxfId="333" totalsRowDxfId="332">
      <totalsRowFormula>SUM(AggPresumptiveP3[LAM Negative])</totalsRowFormula>
    </tableColumn>
    <tableColumn id="14" xr3:uid="{00000000-0010-0000-0300-00000E000000}" name="Invalid" totalsRowFunction="custom" dataDxfId="331" totalsRowDxfId="330">
      <totalsRowFormula>SUM(AggPresumptiveP3[Invalid])</totalsRowFormula>
    </tableColumn>
  </tableColumns>
  <tableStyleInfo name="TableStyleLight1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AggPresumptiveP1" displayName="AggPresumptiveP1" ref="B12:T43" totalsRowCount="1" headerRowDxfId="329" dataDxfId="328" tableBorderDxfId="327">
  <tableColumns count="19">
    <tableColumn id="1" xr3:uid="{00000000-0010-0000-0400-000001000000}" name="Register Page #" totalsRowLabel="Total" dataDxfId="326" totalsRowDxfId="325"/>
    <tableColumn id="2" xr3:uid="{00000000-0010-0000-0400-000002000000}" name="Total Presumptive TB" totalsRowFunction="custom" dataDxfId="324" totalsRowDxfId="323">
      <calculatedColumnFormula>SUM(AggPresumptiveP1[Total Presumptive TB])</calculatedColumnFormula>
      <totalsRowFormula>SUM(AggPresumptiveP1[Total Presumptive TB])</totalsRowFormula>
    </tableColumn>
    <tableColumn id="3" xr3:uid="{00000000-0010-0000-0400-000003000000}" name="Age 0-14" totalsRowFunction="custom" dataDxfId="322" totalsRowDxfId="321">
      <totalsRowFormula>SUM(AggPresumptiveP1[Age 0-14])</totalsRowFormula>
    </tableColumn>
    <tableColumn id="4" xr3:uid="{00000000-0010-0000-0400-000004000000}" name="Age 15+ " totalsRowFunction="custom" dataDxfId="320" totalsRowDxfId="319">
      <totalsRowFormula>SUM(AggPresumptiveP1[Age 15+ ])</totalsRowFormula>
    </tableColumn>
    <tableColumn id="22" xr3:uid="{00000000-0010-0000-0400-000016000000}" name="Number Specimens Collected" totalsRowFunction="custom" dataDxfId="318" totalsRowDxfId="317">
      <totalsRowFormula>SUM(AggPresumptiveP1[Number Specimens Collected])</totalsRowFormula>
    </tableColumn>
    <tableColumn id="6" xr3:uid="{00000000-0010-0000-0400-000006000000}" name="Unable to Produce" totalsRowFunction="sum" dataDxfId="316" totalsRowDxfId="315"/>
    <tableColumn id="15" xr3:uid="{00000000-0010-0000-0400-00000F000000}" name="HIV Positive" totalsRowFunction="custom" dataDxfId="314" totalsRowDxfId="313">
      <totalsRowFormula>SUM(AggPresumptiveP1[HIV Positive])</totalsRowFormula>
    </tableColumn>
    <tableColumn id="16" xr3:uid="{00000000-0010-0000-0400-000010000000}" name="HIV Negative" totalsRowFunction="custom" dataDxfId="312" totalsRowDxfId="311">
      <totalsRowFormula>SUM(AggPresumptiveP1[HIV Negative])</totalsRowFormula>
    </tableColumn>
    <tableColumn id="19" xr3:uid="{00000000-0010-0000-0400-000013000000}" name="Not Tested" totalsRowFunction="custom" dataDxfId="310" totalsRowDxfId="309">
      <totalsRowFormula>SUM(AggPresumptiveP1[Not Tested])</totalsRowFormula>
    </tableColumn>
    <tableColumn id="7" xr3:uid="{00000000-0010-0000-0400-000007000000}" name="AFB (-)" totalsRowFunction="custom" dataDxfId="308" totalsRowDxfId="307">
      <totalsRowFormula>SUM(AggPresumptiveP1[AFB (-)])</totalsRowFormula>
    </tableColumn>
    <tableColumn id="8" xr3:uid="{00000000-0010-0000-0400-000008000000}" name="AFB (+)" totalsRowFunction="custom" dataDxfId="306" totalsRowDxfId="305">
      <totalsRowFormula>SUM(AggPresumptiveP1[AFB (+)])</totalsRowFormula>
    </tableColumn>
    <tableColumn id="9" xr3:uid="{00000000-0010-0000-0400-000009000000}" name="MTB Not Detected_x000a_(N)" totalsRowFunction="custom" dataDxfId="304" totalsRowDxfId="303">
      <totalsRowFormula>SUM(AggPresumptiveP1[MTB Not Detected
(N)])</totalsRowFormula>
    </tableColumn>
    <tableColumn id="10" xr3:uid="{00000000-0010-0000-0400-00000A000000}" name="MTB Detected_x000a_(including trace), _x000a_RIF Resistance not Detected_x000a_(T)" totalsRowFunction="custom" dataDxfId="302" totalsRowDxfId="301">
      <totalsRowFormula>SUM(AggPresumptiveP1[MTB Detected
(including trace), 
RIF Resistance not Detected
(T)])</totalsRowFormula>
    </tableColumn>
    <tableColumn id="11" xr3:uid="{00000000-0010-0000-0400-00000B000000}" name="MTB Detected (including trace), _x000a_RIF Resistance Detected_x000a_(RR)" totalsRowFunction="custom" dataDxfId="300" totalsRowDxfId="299">
      <totalsRowFormula>SUM(AggPresumptiveP1[MTB Detected (including trace), 
RIF Resistance Detected
(RR)])</totalsRowFormula>
    </tableColumn>
    <tableColumn id="12" xr3:uid="{00000000-0010-0000-0400-00000C000000}" name="MTB Detected (including trace), _x000a_RIF Resistance Indeterminate_x000a_(TI)" totalsRowFunction="custom" dataDxfId="298" totalsRowDxfId="297">
      <totalsRowFormula>SUM(AggPresumptiveP1[MTB Detected (including trace), 
RIF Resistance Indeterminate
(TI)])</totalsRowFormula>
    </tableColumn>
    <tableColumn id="13" xr3:uid="{00000000-0010-0000-0400-00000D000000}" name="Invalid_x000a_No Result Error_x000a_(I)" totalsRowFunction="custom" dataDxfId="296" totalsRowDxfId="295">
      <totalsRowFormula>SUM(AggPresumptiveP1[Invalid
No Result Error
(I)])</totalsRowFormula>
    </tableColumn>
    <tableColumn id="18" xr3:uid="{00000000-0010-0000-0400-000012000000}" name="LAM Positive" totalsRowFunction="custom" dataDxfId="294" totalsRowDxfId="293">
      <totalsRowFormula>SUM(AggPresumptiveP1[LAM Positive])</totalsRowFormula>
    </tableColumn>
    <tableColumn id="17" xr3:uid="{00000000-0010-0000-0400-000011000000}" name="LAM Negative" totalsRowFunction="custom" dataDxfId="292" totalsRowDxfId="291">
      <totalsRowFormula>SUM(AggPresumptiveP1[LAM Negative])</totalsRowFormula>
    </tableColumn>
    <tableColumn id="14" xr3:uid="{00000000-0010-0000-0400-00000E000000}" name="Invalid" totalsRowFunction="custom" dataDxfId="290" totalsRowDxfId="289">
      <totalsRowFormula>SUM(AggPresumptiveP1[Invalid])</totalsRowFormula>
    </tableColumn>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74D1365-8CE4-4DF0-ACB2-01287C3D7AAC}" name="AggPresumptiveP4" displayName="AggPresumptiveP4" ref="B123:T154" totalsRowCount="1" headerRowDxfId="288" dataDxfId="287" totalsRowDxfId="285" tableBorderDxfId="286">
  <tableColumns count="19">
    <tableColumn id="1" xr3:uid="{939C919B-6D41-40F0-B9B9-B315AF8DE188}" name="Register Page #" totalsRowLabel="Total" dataDxfId="284" totalsRowDxfId="283"/>
    <tableColumn id="2" xr3:uid="{60A362A2-8BF1-4601-A4FE-0BF0750973BA}" name="Total Presumptive TB" totalsRowFunction="custom" dataDxfId="282" totalsRowDxfId="281">
      <totalsRowFormula>SUM(AggPresumptiveP4[Total Presumptive TB])</totalsRowFormula>
    </tableColumn>
    <tableColumn id="3" xr3:uid="{6AFB97D3-EEDB-456F-A5BE-0F56D17ECDC4}" name="Age 0-14" totalsRowFunction="custom" dataDxfId="280" totalsRowDxfId="279">
      <totalsRowFormula>SUM(AggPresumptiveP4[Age 0-14])</totalsRowFormula>
    </tableColumn>
    <tableColumn id="4" xr3:uid="{1227BCCD-28CE-482C-8604-D58EBAB3C25F}" name="Age 15+ " totalsRowFunction="custom" dataDxfId="278" totalsRowDxfId="277">
      <totalsRowFormula>SUM(AggPresumptiveP4[Age 15+ ])</totalsRowFormula>
    </tableColumn>
    <tableColumn id="22" xr3:uid="{150E34EA-7AD2-4E40-AA80-E60066FDF98B}" name="Number Specimens Collected" totalsRowFunction="custom" dataDxfId="276" totalsRowDxfId="275">
      <totalsRowFormula>SUM(AggPresumptiveP4[Number Specimens Collected])</totalsRowFormula>
    </tableColumn>
    <tableColumn id="5" xr3:uid="{E1582B62-594C-4AAD-BECA-132AE4122F4D}" name="Unable to Produce" totalsRowFunction="sum" dataDxfId="274" totalsRowDxfId="273"/>
    <tableColumn id="15" xr3:uid="{6ACDFFB3-FD72-4CC1-BC34-1BFAA42A097E}" name="HIV Positive" totalsRowFunction="custom" dataDxfId="272" totalsRowDxfId="271">
      <totalsRowFormula>SUM(AggPresumptiveP4[HIV Positive])</totalsRowFormula>
    </tableColumn>
    <tableColumn id="16" xr3:uid="{65A017D8-AE11-4614-A2CB-F6F0285FDAAE}" name="HIV Negative" totalsRowFunction="custom" dataDxfId="270" totalsRowDxfId="269">
      <totalsRowFormula>SUM(AggPresumptiveP4[HIV Negative])</totalsRowFormula>
    </tableColumn>
    <tableColumn id="19" xr3:uid="{8C1EA89C-B6A2-4B2A-BE8E-87F0719AE285}" name="Not Tested" totalsRowFunction="custom" dataDxfId="268" totalsRowDxfId="267">
      <totalsRowFormula>SUM(AggPresumptiveP4[Not Tested])</totalsRowFormula>
    </tableColumn>
    <tableColumn id="7" xr3:uid="{2753123C-FB9A-4A47-BB70-533672C5EAB8}" name="AFB (-)" totalsRowFunction="custom" dataDxfId="266" totalsRowDxfId="265">
      <totalsRowFormula>SUM(AggPresumptiveP4[AFB (-)])</totalsRowFormula>
    </tableColumn>
    <tableColumn id="8" xr3:uid="{D78A3ECE-E6AB-41D3-BCBE-1534BAFBE3AD}" name="AFB (+)" totalsRowFunction="custom" dataDxfId="264" totalsRowDxfId="263">
      <totalsRowFormula>SUM(AggPresumptiveP4[AFB (+)])</totalsRowFormula>
    </tableColumn>
    <tableColumn id="9" xr3:uid="{09F90BB6-3AC2-4A32-B0DA-A7A4F109AFDF}" name="MTB Not Detected_x000a_(N)" totalsRowFunction="custom" dataDxfId="262" totalsRowDxfId="261">
      <totalsRowFormula>SUM(AggPresumptiveP4[MTB Not Detected
(N)])</totalsRowFormula>
    </tableColumn>
    <tableColumn id="10" xr3:uid="{0A0AAE83-9340-4CCB-B59D-0EBCBACCAFBF}" name="MTB Detected_x000a_(including trace), _x000a_RIF Resistance not Detected_x000a_(T)" totalsRowFunction="custom" dataDxfId="260" totalsRowDxfId="259">
      <totalsRowFormula>SUM(AggPresumptiveP4[MTB Detected
(including trace), 
RIF Resistance not Detected
(T)])</totalsRowFormula>
    </tableColumn>
    <tableColumn id="11" xr3:uid="{639AC3B2-A5A9-44AE-A648-23D28D274612}" name="MTB Detected (including trace), _x000a_RIF Resistance Detected_x000a_(RR)" totalsRowFunction="custom" dataDxfId="258" totalsRowDxfId="257">
      <totalsRowFormula>SUM(AggPresumptiveP4[MTB Detected (including trace), 
RIF Resistance Detected
(RR)])</totalsRowFormula>
    </tableColumn>
    <tableColumn id="12" xr3:uid="{619B36BC-0B1B-443D-B474-E95D80A82ECF}" name="MTB Detected (including trace), _x000a_RIF Resistance Indeterminate_x000a_(TI)" totalsRowFunction="custom" dataDxfId="256" totalsRowDxfId="255">
      <totalsRowFormula>SUM(AggPresumptiveP4[MTB Detected (including trace), 
RIF Resistance Indeterminate
(TI)])</totalsRowFormula>
    </tableColumn>
    <tableColumn id="13" xr3:uid="{76AD002C-8CC1-41C8-BACA-CE238D4428A8}" name="Invalid_x000a_No Result Error_x000a_(I)" totalsRowFunction="custom" dataDxfId="254" totalsRowDxfId="253">
      <totalsRowFormula>SUM(AggPresumptiveP4[Invalid
No Result Error
(I)])</totalsRowFormula>
    </tableColumn>
    <tableColumn id="18" xr3:uid="{3E12350C-F06B-465B-A5FF-A1869587AD29}" name="LAM Positive" totalsRowFunction="custom" dataDxfId="252" totalsRowDxfId="251">
      <totalsRowFormula>SUM(AggPresumptiveP4[LAM Positive])</totalsRowFormula>
    </tableColumn>
    <tableColumn id="17" xr3:uid="{EA182719-04CC-40FA-98D8-80C47AEF633A}" name="LAM Negative" totalsRowFunction="custom" dataDxfId="250" totalsRowDxfId="249">
      <totalsRowFormula>SUM(AggPresumptiveP4[LAM Negative])</totalsRowFormula>
    </tableColumn>
    <tableColumn id="14" xr3:uid="{DB9C6BFD-A96B-4867-AD25-CE393D8B9381}" name="Invalid" totalsRowFunction="custom" dataDxfId="248" totalsRowDxfId="247">
      <totalsRowFormula>SUM(AggPresumptiveP4[Invalid])</totalsRowFormula>
    </tableColumn>
  </tableColumns>
  <tableStyleInfo name="TableStyleLight2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FB1C3780-C22A-4BBF-8ADA-098266A35C29}" name="AggPresumptiveP5" displayName="AggPresumptiveP5" ref="B160:T191" totalsRowCount="1" headerRowDxfId="246" dataDxfId="245" totalsRowDxfId="243" tableBorderDxfId="244">
  <tableColumns count="19">
    <tableColumn id="1" xr3:uid="{47E89A2F-D158-419E-B358-426D01F851C2}" name="Register Page #" totalsRowLabel="Total" dataDxfId="242" totalsRowDxfId="241"/>
    <tableColumn id="2" xr3:uid="{64FA48F5-6B71-4E18-8A9E-38C7B0F600E2}" name="Total Presumptive TB" totalsRowFunction="custom" dataDxfId="240" totalsRowDxfId="239">
      <totalsRowFormula>SUM(AggPresumptiveP5[Total Presumptive TB])</totalsRowFormula>
    </tableColumn>
    <tableColumn id="3" xr3:uid="{8C6481CC-C283-48B5-8652-736A39BC1D6B}" name="Age 0-14" totalsRowFunction="custom" dataDxfId="238" totalsRowDxfId="237">
      <totalsRowFormula>SUM(AggPresumptiveP5[Age 0-14])</totalsRowFormula>
    </tableColumn>
    <tableColumn id="4" xr3:uid="{89FBBD75-4BBF-42CC-81D9-881210ED707D}" name="Age 15+ " totalsRowFunction="custom" dataDxfId="236" totalsRowDxfId="235">
      <totalsRowFormula>SUM(AggPresumptiveP5[Age 15+ ])</totalsRowFormula>
    </tableColumn>
    <tableColumn id="22" xr3:uid="{0DF6E786-7C36-46B3-BE19-CCCFAC5F1881}" name="Number Specimens Collected" totalsRowFunction="custom" dataDxfId="234" totalsRowDxfId="233">
      <totalsRowFormula>SUM(AggPresumptiveP5[Number Specimens Collected])</totalsRowFormula>
    </tableColumn>
    <tableColumn id="5" xr3:uid="{40DEA486-A9E5-4CFA-8A37-16596FB73AD4}" name="Unable to Produce" totalsRowFunction="sum" dataDxfId="232" totalsRowDxfId="231"/>
    <tableColumn id="15" xr3:uid="{228E130B-320B-4A23-A9D8-553A272E349D}" name="HIV Positive" totalsRowFunction="custom" dataDxfId="230" totalsRowDxfId="229">
      <totalsRowFormula>SUM(AggPresumptiveP5[HIV Positive])</totalsRowFormula>
    </tableColumn>
    <tableColumn id="16" xr3:uid="{76FEE91D-B519-42C3-AD7B-22862E076009}" name="HIV Negative" totalsRowFunction="custom" dataDxfId="228" totalsRowDxfId="227">
      <totalsRowFormula>SUM(AggPresumptiveP5[HIV Negative])</totalsRowFormula>
    </tableColumn>
    <tableColumn id="19" xr3:uid="{2E6893FE-341B-4EDE-9364-4689B8BDB70D}" name="Not Tested" totalsRowFunction="custom" dataDxfId="226" totalsRowDxfId="225">
      <totalsRowFormula>SUM(AggPresumptiveP5[Not Tested])</totalsRowFormula>
    </tableColumn>
    <tableColumn id="7" xr3:uid="{7C09D66E-317D-490F-83EC-D1EB98CE24F2}" name="AFB (-)" totalsRowFunction="custom" dataDxfId="224" totalsRowDxfId="223">
      <totalsRowFormula>SUM(AggPresumptiveP5[AFB (-)])</totalsRowFormula>
    </tableColumn>
    <tableColumn id="8" xr3:uid="{51067281-4EF0-4C3B-B2DD-92E5964D9788}" name="AFB (+)" totalsRowFunction="custom" dataDxfId="222" totalsRowDxfId="221">
      <totalsRowFormula>SUM(AggPresumptiveP5[AFB (+)])</totalsRowFormula>
    </tableColumn>
    <tableColumn id="9" xr3:uid="{ADFB2A82-C47D-49BD-897B-FD03F5FDB09D}" name="MTB Not Detected_x000a_(N)" totalsRowFunction="custom" dataDxfId="220" totalsRowDxfId="219">
      <totalsRowFormula>SUM(AggPresumptiveP5[MTB Not Detected
(N)])</totalsRowFormula>
    </tableColumn>
    <tableColumn id="10" xr3:uid="{8DCE3A97-3451-48B8-B81E-1D468B0D4764}" name="MTB Detected_x000a_(including trace), _x000a_RIF Resistance not Detected_x000a_(T)" totalsRowFunction="custom" dataDxfId="218" totalsRowDxfId="217">
      <totalsRowFormula>SUM(AggPresumptiveP5[MTB Detected
(including trace), 
RIF Resistance not Detected
(T)])</totalsRowFormula>
    </tableColumn>
    <tableColumn id="11" xr3:uid="{40E34A0D-7A21-4E19-9E89-6503A35B1860}" name="MTB Detected (including trace), _x000a_RIF Resistance Detected_x000a_(RR)" totalsRowFunction="custom" dataDxfId="216" totalsRowDxfId="215">
      <totalsRowFormula>SUM(AggPresumptiveP5[MTB Detected (including trace), 
RIF Resistance Detected
(RR)])</totalsRowFormula>
    </tableColumn>
    <tableColumn id="12" xr3:uid="{007AEB96-174B-4381-9B72-BB65479173C2}" name="MTB Detected (including trace), _x000a_RIF Resistance Indeterminate_x000a_(TI)" totalsRowFunction="custom" dataDxfId="214" totalsRowDxfId="213">
      <totalsRowFormula>SUM(AggPresumptiveP5[MTB Detected (including trace), 
RIF Resistance Indeterminate
(TI)])</totalsRowFormula>
    </tableColumn>
    <tableColumn id="13" xr3:uid="{219E94C5-3554-457E-9162-1DE88F10FAF8}" name="Invalid_x000a_No Result Error_x000a_(I)" totalsRowFunction="custom" dataDxfId="212" totalsRowDxfId="211">
      <totalsRowFormula>SUM(AggPresumptiveP5[Invalid
No Result Error
(I)])</totalsRowFormula>
    </tableColumn>
    <tableColumn id="18" xr3:uid="{CF3988EF-7DF8-4B7C-9A9E-35560B29E64D}" name="LAM Positive" totalsRowFunction="custom" dataDxfId="210" totalsRowDxfId="209">
      <totalsRowFormula>SUM(AggPresumptiveP5[LAM Positive])</totalsRowFormula>
    </tableColumn>
    <tableColumn id="17" xr3:uid="{98CA8C5E-B025-44A0-860C-A49BA24FAB19}" name="LAM Negative" totalsRowFunction="custom" dataDxfId="208" totalsRowDxfId="207">
      <totalsRowFormula>SUM(AggPresumptiveP5[LAM Negative])</totalsRowFormula>
    </tableColumn>
    <tableColumn id="14" xr3:uid="{1593EE30-ECA3-4766-B5EA-093EF3F134B4}" name="Invalid" totalsRowFunction="custom" dataDxfId="206" totalsRowDxfId="205">
      <totalsRowFormula>SUM(AggPresumptiveP5[Invalid])</totalsRowFormula>
    </tableColumn>
  </tableColumns>
  <tableStyleInfo name="TableStyleLight1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PLPresumptive" displayName="PLPresumptive" ref="B13:N34" totalsRowCount="1" headerRowDxfId="204">
  <autoFilter ref="B13:N33"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500-000001000000}" name="PATIENT" totalsRowLabel="Complete" dataDxfId="203" totalsRowDxfId="202"/>
    <tableColumn id="2" xr3:uid="{3897583C-6A05-4B1E-88D1-0187C479CF0A}" name="Entry Point" totalsRowFunction="custom" dataDxfId="201" totalsRowDxfId="200">
      <totalsRowFormula>COUNTA(PLPresumptive[Entry Point])</totalsRowFormula>
    </tableColumn>
    <tableColumn id="3" xr3:uid="{00000000-0010-0000-0500-000003000000}" name="Sex" totalsRowFunction="custom" dataDxfId="199" totalsRowDxfId="198">
      <totalsRowFormula>COUNTA(PLPresumptive[Sex])</totalsRowFormula>
    </tableColumn>
    <tableColumn id="4" xr3:uid="{00000000-0010-0000-0500-000004000000}" name="Age _x000a_(&lt;15, 15+)" totalsRowFunction="custom" dataDxfId="197" totalsRowDxfId="196">
      <totalsRowFormula>COUNTA(PLPresumptive[Age 
(&lt;15, 15+)])</totalsRowFormula>
    </tableColumn>
    <tableColumn id="6" xr3:uid="{00000000-0010-0000-0500-000006000000}" name="Specimen Collection Documented" totalsRowFunction="custom" dataDxfId="195" totalsRowDxfId="194">
      <totalsRowFormula>COUNTA(PLPresumptive[Specimen Collection Documented])</totalsRowFormula>
    </tableColumn>
    <tableColumn id="7" xr3:uid="{00000000-0010-0000-0500-000007000000}" name="Date of Specimen Collection*" totalsRowFunction="custom" dataDxfId="193" totalsRowDxfId="192">
      <totalsRowFormula>COUNTA(PLPresumptive[Date of Specimen Collection*])</totalsRowFormula>
    </tableColumn>
    <tableColumn id="8" xr3:uid="{00000000-0010-0000-0500-000008000000}" name="Date Specimen was Sent to Lab*" totalsRowFunction="custom" dataDxfId="191" totalsRowDxfId="190">
      <totalsRowFormula>COUNTA(PLPresumptive[Date Specimen was Sent to Lab*])</totalsRowFormula>
    </tableColumn>
    <tableColumn id="9" xr3:uid="{00000000-0010-0000-0500-000009000000}" name="Date TB Result Released*" totalsRowFunction="custom" dataDxfId="189" totalsRowDxfId="188">
      <totalsRowFormula>COUNTA(PLPresumptive[Date TB Result Released*])</totalsRowFormula>
    </tableColumn>
    <tableColumn id="10" xr3:uid="{00000000-0010-0000-0500-00000A000000}" name="AFB Result" totalsRowFunction="custom" dataDxfId="187" totalsRowDxfId="186">
      <totalsRowFormula>COUNTA(PLPresumptive[AFB Result])</totalsRowFormula>
    </tableColumn>
    <tableColumn id="11" xr3:uid="{00000000-0010-0000-0500-00000B000000}" name="LAM Result" totalsRowFunction="custom" dataDxfId="185" totalsRowDxfId="184">
      <totalsRowFormula>COUNTA(PLPresumptive[LAM Result])</totalsRowFormula>
    </tableColumn>
    <tableColumn id="12" xr3:uid="{00000000-0010-0000-0500-00000C000000}" name="mWRD MTB Result" totalsRowFunction="custom" dataDxfId="183" totalsRowDxfId="182">
      <totalsRowFormula>COUNTA(PLPresumptive[mWRD MTB Result])</totalsRowFormula>
    </tableColumn>
    <tableColumn id="13" xr3:uid="{00000000-0010-0000-0500-00000D000000}" name="mWRD RIF Result" totalsRowFunction="custom" dataDxfId="181" totalsRowDxfId="180">
      <totalsRowFormula>COUNTA(PLPresumptive[mWRD RIF Result])</totalsRowFormula>
    </tableColumn>
    <tableColumn id="19" xr3:uid="{00000000-0010-0000-0500-000013000000}" name="Patient Count Helper Column" totalsRowFunction="custom" dataDxfId="179" totalsRowDxfId="178">
      <calculatedColumnFormula>COUNTA(PLPresumptive[[#This Row],[Entry Point]:[mWRD RIF Result]])</calculatedColumnFormula>
      <totalsRowFormula>COUNTIF(PLPresumptive[Patient Count Helper Column], "&gt;0")</totalsRowFormula>
    </tableColumn>
  </tableColumns>
  <tableStyleInfo name="TableStyleLight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AggLabP1" displayName="AggLabP1" ref="B12:T63" totalsRowCount="1" headerRowDxfId="177" dataDxfId="175" headerRowBorderDxfId="176" tableBorderDxfId="174">
  <tableColumns count="19">
    <tableColumn id="1" xr3:uid="{00000000-0010-0000-0600-000001000000}" name="Register Page #" dataDxfId="173" totalsRowDxfId="172"/>
    <tableColumn id="2" xr3:uid="{00000000-0010-0000-0600-000002000000}" name="Total Specimens" totalsRowFunction="custom" dataDxfId="171" totalsRowDxfId="170">
      <totalsRowFormula>SUM(AggLabP1[Total Specimens])</totalsRowFormula>
    </tableColumn>
    <tableColumn id="4" xr3:uid="{00000000-0010-0000-0600-000004000000}" name="Sputum" totalsRowFunction="sum" dataDxfId="169" totalsRowDxfId="168"/>
    <tableColumn id="3" xr3:uid="{00000000-0010-0000-0600-000003000000}" name="Urine" totalsRowFunction="sum" dataDxfId="167" totalsRowDxfId="166"/>
    <tableColumn id="5" xr3:uid="{00000000-0010-0000-0600-000005000000}" name="Age 0-14" totalsRowFunction="custom" dataDxfId="165" totalsRowDxfId="164">
      <totalsRowFormula>SUM(AggLabP1[Age 0-14])</totalsRowFormula>
    </tableColumn>
    <tableColumn id="6" xr3:uid="{00000000-0010-0000-0600-000006000000}" name="Age 15+" totalsRowFunction="custom" dataDxfId="163" totalsRowDxfId="162">
      <totalsRowFormula>SUM(AggLabP1[Age 15+])</totalsRowFormula>
    </tableColumn>
    <tableColumn id="13" xr3:uid="{00000000-0010-0000-0600-00000D000000}" name="AFB (-)" totalsRowFunction="custom" dataDxfId="161" totalsRowDxfId="160">
      <totalsRowFormula>SUM(AggLabP1[AFB (-)])</totalsRowFormula>
    </tableColumn>
    <tableColumn id="14" xr3:uid="{00000000-0010-0000-0600-00000E000000}" name="AFB (+)" totalsRowFunction="custom" dataDxfId="159" totalsRowDxfId="158">
      <totalsRowFormula>SUM(AggLabP1[AFB (+)])</totalsRowFormula>
    </tableColumn>
    <tableColumn id="16" xr3:uid="{00000000-0010-0000-0600-000010000000}" name="MTB Not Detected_x000a_(N)" totalsRowFunction="custom" dataDxfId="157" totalsRowDxfId="156">
      <totalsRowFormula>SUM(AggLabP1[MTB Not Detected
(N)])</totalsRowFormula>
    </tableColumn>
    <tableColumn id="17" xr3:uid="{00000000-0010-0000-0600-000011000000}" name="MTB Detected_x000a_(including trace), _x000a_RIF Resistance not Detected_x000a_(T)" totalsRowFunction="custom" dataDxfId="155" totalsRowDxfId="154">
      <totalsRowFormula>SUM(AggLabP1[MTB Detected
(including trace), 
RIF Resistance not Detected
(T)])</totalsRowFormula>
    </tableColumn>
    <tableColumn id="18" xr3:uid="{00000000-0010-0000-0600-000012000000}" name="MTB Detected (including trace), _x000a_RIF Resistance Detected_x000a_(RR)" totalsRowFunction="custom" dataDxfId="153" totalsRowDxfId="152">
      <totalsRowFormula>SUM(AggLabP1[MTB Detected (including trace), 
RIF Resistance Detected
(RR)])</totalsRowFormula>
    </tableColumn>
    <tableColumn id="19" xr3:uid="{00000000-0010-0000-0600-000013000000}" name="MTB Detected (including trace), _x000a_RIF Resistance Indeterminate_x000a_(TI)" totalsRowFunction="custom" dataDxfId="151" totalsRowDxfId="150">
      <totalsRowFormula>SUM(AggLabP1[MTB Detected (including trace), 
RIF Resistance Indeterminate
(TI)])</totalsRowFormula>
    </tableColumn>
    <tableColumn id="20" xr3:uid="{00000000-0010-0000-0600-000014000000}" name="Invalid_x000a_No Result Error_x000a_(I)" totalsRowFunction="custom" dataDxfId="149" totalsRowDxfId="148">
      <totalsRowFormula>SUM(AggLabP1[Invalid
No Result Error
(I)])</totalsRowFormula>
    </tableColumn>
    <tableColumn id="11" xr3:uid="{00000000-0010-0000-0600-00000B000000}" name="LAM Positive" totalsRowFunction="custom" dataDxfId="147" totalsRowDxfId="146">
      <totalsRowFormula>SUM(AggLabP1[LAM Positive])</totalsRowFormula>
    </tableColumn>
    <tableColumn id="10" xr3:uid="{00000000-0010-0000-0600-00000A000000}" name="LAM Negative" totalsRowFunction="custom" dataDxfId="145" totalsRowDxfId="144">
      <totalsRowFormula>SUM(AggLabP1[LAM Negative])</totalsRowFormula>
    </tableColumn>
    <tableColumn id="9" xr3:uid="{00000000-0010-0000-0600-000009000000}" name="LAM Invalid" totalsRowFunction="custom" dataDxfId="143" totalsRowDxfId="142">
      <totalsRowFormula>SUM(AggLabP1[LAM Invalid])</totalsRowFormula>
    </tableColumn>
    <tableColumn id="7" xr3:uid="{00000000-0010-0000-0600-000007000000}" name="Positive" totalsRowFunction="custom" dataDxfId="141" totalsRowDxfId="140">
      <totalsRowFormula>SUM(AggLabP1[Positive])</totalsRowFormula>
    </tableColumn>
    <tableColumn id="8" xr3:uid="{00000000-0010-0000-0600-000008000000}" name="Negative" totalsRowFunction="custom" dataDxfId="139" totalsRowDxfId="138">
      <totalsRowFormula>SUM(AggLabP1[Negative])</totalsRowFormula>
    </tableColumn>
    <tableColumn id="12" xr3:uid="{00000000-0010-0000-0600-00000C000000}" name="Not Tested" totalsRowFunction="custom" dataDxfId="137" totalsRowDxfId="136">
      <totalsRowFormula>SUM(AggLabP1[Not Tested])</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9.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B3:P32"/>
  <sheetViews>
    <sheetView showGridLines="0" zoomScale="73" zoomScaleNormal="90" workbookViewId="0">
      <selection activeCell="W13" sqref="W13"/>
    </sheetView>
  </sheetViews>
  <sheetFormatPr defaultRowHeight="14.4" x14ac:dyDescent="0.3"/>
  <cols>
    <col min="1" max="1" width="2.33203125" customWidth="1"/>
    <col min="2" max="2" width="31.5546875" customWidth="1"/>
    <col min="3" max="3" width="2.88671875" customWidth="1"/>
    <col min="4" max="4" width="12.6640625" customWidth="1"/>
    <col min="16" max="16" width="18.44140625" customWidth="1"/>
    <col min="22" max="22" width="9.109375" customWidth="1"/>
  </cols>
  <sheetData>
    <row r="3" spans="2:16" ht="25.8" x14ac:dyDescent="0.5">
      <c r="C3" s="8" t="s">
        <v>2</v>
      </c>
    </row>
    <row r="4" spans="2:16" ht="25.8" x14ac:dyDescent="0.5">
      <c r="C4" s="8"/>
    </row>
    <row r="5" spans="2:16" x14ac:dyDescent="0.3">
      <c r="B5" s="5" t="s">
        <v>3</v>
      </c>
    </row>
    <row r="6" spans="2:16" ht="60" customHeight="1" x14ac:dyDescent="0.3">
      <c r="B6" s="569" t="s">
        <v>112</v>
      </c>
      <c r="C6" s="569"/>
      <c r="D6" s="569"/>
      <c r="E6" s="569"/>
      <c r="F6" s="569"/>
      <c r="G6" s="569"/>
      <c r="H6" s="569"/>
      <c r="I6" s="569"/>
      <c r="J6" s="569"/>
      <c r="K6" s="569"/>
      <c r="L6" s="569"/>
      <c r="M6" s="569"/>
      <c r="N6" s="569"/>
      <c r="O6" s="569"/>
      <c r="P6" s="569"/>
    </row>
    <row r="7" spans="2:16" x14ac:dyDescent="0.3">
      <c r="B7" s="10"/>
      <c r="C7" s="10"/>
      <c r="D7" s="10"/>
      <c r="E7" s="10"/>
      <c r="F7" s="10"/>
      <c r="G7" s="10"/>
      <c r="H7" s="10"/>
      <c r="I7" s="10"/>
      <c r="J7" s="10"/>
      <c r="K7" s="10"/>
      <c r="L7" s="10"/>
      <c r="M7" s="10"/>
      <c r="N7" s="10"/>
      <c r="O7" s="10"/>
      <c r="P7" s="10"/>
    </row>
    <row r="8" spans="2:16" x14ac:dyDescent="0.3">
      <c r="B8" s="5" t="s">
        <v>4</v>
      </c>
    </row>
    <row r="9" spans="2:16" ht="66.599999999999994" customHeight="1" x14ac:dyDescent="0.3">
      <c r="B9" s="568" t="s">
        <v>381</v>
      </c>
      <c r="C9" s="568"/>
      <c r="D9" s="568"/>
      <c r="E9" s="568"/>
      <c r="F9" s="568"/>
      <c r="G9" s="568"/>
      <c r="H9" s="568"/>
      <c r="I9" s="568"/>
      <c r="J9" s="568"/>
      <c r="K9" s="568"/>
      <c r="L9" s="568"/>
      <c r="M9" s="568"/>
      <c r="N9" s="568"/>
      <c r="O9" s="568"/>
      <c r="P9" s="568"/>
    </row>
    <row r="10" spans="2:16" ht="15" customHeight="1" x14ac:dyDescent="0.3">
      <c r="B10" s="5" t="s">
        <v>173</v>
      </c>
      <c r="C10" s="9"/>
      <c r="D10" s="9"/>
      <c r="E10" s="9"/>
      <c r="F10" s="9"/>
      <c r="G10" s="9"/>
      <c r="H10" s="9"/>
      <c r="I10" s="9"/>
      <c r="J10" s="9"/>
      <c r="K10" s="9"/>
      <c r="L10" s="9"/>
      <c r="M10" s="9"/>
      <c r="N10" s="9"/>
      <c r="O10" s="9"/>
      <c r="P10" s="9"/>
    </row>
    <row r="11" spans="2:16" ht="47.4" customHeight="1" x14ac:dyDescent="0.3">
      <c r="B11" s="226" t="s">
        <v>172</v>
      </c>
      <c r="C11" s="227"/>
      <c r="D11" s="570" t="s">
        <v>378</v>
      </c>
      <c r="E11" s="570"/>
      <c r="F11" s="570"/>
      <c r="G11" s="570"/>
      <c r="H11" s="570"/>
      <c r="I11" s="570"/>
      <c r="J11" s="570"/>
      <c r="K11" s="570"/>
      <c r="L11" s="570"/>
      <c r="M11" s="570"/>
      <c r="N11" s="570"/>
      <c r="O11" s="570"/>
      <c r="P11" s="570"/>
    </row>
    <row r="12" spans="2:16" ht="47.4" customHeight="1" x14ac:dyDescent="0.3">
      <c r="B12" s="226" t="s">
        <v>379</v>
      </c>
      <c r="C12" s="227"/>
      <c r="D12" s="566" t="s">
        <v>388</v>
      </c>
      <c r="E12" s="566"/>
      <c r="F12" s="566"/>
      <c r="G12" s="566"/>
      <c r="H12" s="566"/>
      <c r="I12" s="566"/>
      <c r="J12" s="566"/>
      <c r="K12" s="566"/>
      <c r="L12" s="566"/>
      <c r="M12" s="566"/>
      <c r="N12" s="566"/>
      <c r="O12" s="566"/>
      <c r="P12" s="566"/>
    </row>
    <row r="13" spans="2:16" s="1" customFormat="1" ht="47.4" customHeight="1" x14ac:dyDescent="0.3">
      <c r="B13" s="228" t="s">
        <v>380</v>
      </c>
      <c r="C13" s="229"/>
      <c r="D13" s="566" t="s">
        <v>386</v>
      </c>
      <c r="E13" s="566"/>
      <c r="F13" s="566"/>
      <c r="G13" s="566"/>
      <c r="H13" s="566"/>
      <c r="I13" s="566"/>
      <c r="J13" s="566"/>
      <c r="K13" s="566"/>
      <c r="L13" s="566"/>
      <c r="M13" s="566"/>
      <c r="N13" s="566"/>
      <c r="O13" s="566"/>
      <c r="P13" s="566"/>
    </row>
    <row r="14" spans="2:16" s="1" customFormat="1" ht="47.4" customHeight="1" x14ac:dyDescent="0.3">
      <c r="B14" s="561" t="s">
        <v>382</v>
      </c>
      <c r="C14" s="562"/>
      <c r="D14" s="566" t="s">
        <v>385</v>
      </c>
      <c r="E14" s="566"/>
      <c r="F14" s="566"/>
      <c r="G14" s="566"/>
      <c r="H14" s="566"/>
      <c r="I14" s="566"/>
      <c r="J14" s="566"/>
      <c r="K14" s="566"/>
      <c r="L14" s="566"/>
      <c r="M14" s="566"/>
      <c r="N14" s="566"/>
      <c r="O14" s="566"/>
      <c r="P14" s="566"/>
    </row>
    <row r="15" spans="2:16" s="1" customFormat="1" ht="47.4" customHeight="1" x14ac:dyDescent="0.3">
      <c r="B15" s="402" t="s">
        <v>282</v>
      </c>
      <c r="C15" s="26"/>
      <c r="D15" s="575" t="s">
        <v>283</v>
      </c>
      <c r="E15" s="575"/>
      <c r="F15" s="575"/>
      <c r="G15" s="575"/>
      <c r="H15" s="575"/>
      <c r="I15" s="575"/>
      <c r="J15" s="575"/>
      <c r="K15" s="575"/>
      <c r="L15" s="575"/>
      <c r="M15" s="575"/>
      <c r="N15" s="575"/>
      <c r="O15" s="575"/>
      <c r="P15" s="575"/>
    </row>
    <row r="16" spans="2:16" s="1" customFormat="1" ht="47.4" customHeight="1" x14ac:dyDescent="0.3">
      <c r="B16" s="228" t="s">
        <v>383</v>
      </c>
      <c r="C16" s="563"/>
      <c r="D16" s="566" t="s">
        <v>113</v>
      </c>
      <c r="E16" s="566"/>
      <c r="F16" s="566"/>
      <c r="G16" s="566"/>
      <c r="H16" s="566"/>
      <c r="I16" s="566"/>
      <c r="J16" s="566"/>
      <c r="K16" s="566"/>
      <c r="L16" s="566"/>
      <c r="M16" s="566"/>
      <c r="N16" s="566"/>
      <c r="O16" s="566"/>
      <c r="P16" s="566"/>
    </row>
    <row r="17" spans="2:16" s="1" customFormat="1" ht="47.4" customHeight="1" x14ac:dyDescent="0.3">
      <c r="B17" s="16" t="s">
        <v>384</v>
      </c>
      <c r="C17" s="110"/>
      <c r="D17" s="571" t="s">
        <v>175</v>
      </c>
      <c r="E17" s="571"/>
      <c r="F17" s="571"/>
      <c r="G17" s="571"/>
      <c r="H17" s="571"/>
      <c r="I17" s="571"/>
      <c r="J17" s="571"/>
      <c r="K17" s="571"/>
      <c r="L17" s="571"/>
      <c r="M17" s="571"/>
      <c r="N17" s="571"/>
      <c r="O17" s="571"/>
      <c r="P17" s="571"/>
    </row>
    <row r="18" spans="2:16" s="1" customFormat="1" ht="25.5" customHeight="1" x14ac:dyDescent="0.3">
      <c r="B18" s="232" t="s">
        <v>176</v>
      </c>
      <c r="C18" s="176"/>
      <c r="D18" s="572" t="s">
        <v>389</v>
      </c>
      <c r="E18" s="572"/>
      <c r="F18" s="572"/>
      <c r="G18" s="572"/>
      <c r="H18" s="572"/>
      <c r="I18" s="572"/>
      <c r="J18" s="572"/>
      <c r="K18" s="572"/>
      <c r="L18" s="572"/>
      <c r="M18" s="572"/>
      <c r="N18" s="572"/>
      <c r="O18" s="572"/>
      <c r="P18" s="572"/>
    </row>
    <row r="19" spans="2:16" s="1" customFormat="1" ht="29.25" customHeight="1" x14ac:dyDescent="0.3">
      <c r="B19" s="233" t="s">
        <v>177</v>
      </c>
      <c r="C19" s="98"/>
      <c r="D19" s="573"/>
      <c r="E19" s="573"/>
      <c r="F19" s="573"/>
      <c r="G19" s="573"/>
      <c r="H19" s="573"/>
      <c r="I19" s="573"/>
      <c r="J19" s="573"/>
      <c r="K19" s="573"/>
      <c r="L19" s="573"/>
      <c r="M19" s="573"/>
      <c r="N19" s="573"/>
      <c r="O19" s="573"/>
      <c r="P19" s="573"/>
    </row>
    <row r="20" spans="2:16" s="1" customFormat="1" ht="36" customHeight="1" x14ac:dyDescent="0.3">
      <c r="B20" s="234" t="s">
        <v>178</v>
      </c>
      <c r="C20" s="98"/>
      <c r="D20" s="573"/>
      <c r="E20" s="573"/>
      <c r="F20" s="573"/>
      <c r="G20" s="573"/>
      <c r="H20" s="573"/>
      <c r="I20" s="573"/>
      <c r="J20" s="573"/>
      <c r="K20" s="573"/>
      <c r="L20" s="573"/>
      <c r="M20" s="573"/>
      <c r="N20" s="573"/>
      <c r="O20" s="573"/>
      <c r="P20" s="573"/>
    </row>
    <row r="21" spans="2:16" s="1" customFormat="1" ht="31.5" customHeight="1" x14ac:dyDescent="0.3">
      <c r="B21" s="235" t="s">
        <v>179</v>
      </c>
      <c r="C21" s="230"/>
      <c r="D21" s="574"/>
      <c r="E21" s="574"/>
      <c r="F21" s="574"/>
      <c r="G21" s="574"/>
      <c r="H21" s="574"/>
      <c r="I21" s="574"/>
      <c r="J21" s="574"/>
      <c r="K21" s="574"/>
      <c r="L21" s="574"/>
      <c r="M21" s="574"/>
      <c r="N21" s="574"/>
      <c r="O21" s="574"/>
      <c r="P21" s="574"/>
    </row>
    <row r="22" spans="2:16" ht="47.25" customHeight="1" x14ac:dyDescent="0.3">
      <c r="B22" s="564" t="s">
        <v>180</v>
      </c>
      <c r="C22" s="166"/>
      <c r="D22" s="572" t="s">
        <v>390</v>
      </c>
      <c r="E22" s="572"/>
      <c r="F22" s="572"/>
      <c r="G22" s="572"/>
      <c r="H22" s="572"/>
      <c r="I22" s="572"/>
      <c r="J22" s="572"/>
      <c r="K22" s="572"/>
      <c r="L22" s="572"/>
      <c r="M22" s="572"/>
      <c r="N22" s="572"/>
      <c r="O22" s="572"/>
      <c r="P22" s="572"/>
    </row>
    <row r="23" spans="2:16" s="4" customFormat="1" ht="36" customHeight="1" x14ac:dyDescent="0.3">
      <c r="B23" s="233" t="s">
        <v>181</v>
      </c>
      <c r="C23" s="231"/>
      <c r="D23" s="573"/>
      <c r="E23" s="573"/>
      <c r="F23" s="573"/>
      <c r="G23" s="573"/>
      <c r="H23" s="573"/>
      <c r="I23" s="573"/>
      <c r="J23" s="573"/>
      <c r="K23" s="573"/>
      <c r="L23" s="573"/>
      <c r="M23" s="573"/>
      <c r="N23" s="573"/>
      <c r="O23" s="573"/>
      <c r="P23" s="573"/>
    </row>
    <row r="24" spans="2:16" ht="47.25" customHeight="1" x14ac:dyDescent="0.3">
      <c r="B24" s="236" t="s">
        <v>182</v>
      </c>
      <c r="C24" s="112"/>
      <c r="D24" s="573"/>
      <c r="E24" s="573"/>
      <c r="F24" s="573"/>
      <c r="G24" s="573"/>
      <c r="H24" s="573"/>
      <c r="I24" s="573"/>
      <c r="J24" s="573"/>
      <c r="K24" s="573"/>
      <c r="L24" s="573"/>
      <c r="M24" s="573"/>
      <c r="N24" s="573"/>
      <c r="O24" s="573"/>
      <c r="P24" s="573"/>
    </row>
    <row r="25" spans="2:16" ht="93.6" customHeight="1" x14ac:dyDescent="0.3">
      <c r="B25" s="565" t="s">
        <v>203</v>
      </c>
      <c r="C25" s="168"/>
      <c r="D25" s="574"/>
      <c r="E25" s="574"/>
      <c r="F25" s="574"/>
      <c r="G25" s="574"/>
      <c r="H25" s="574"/>
      <c r="I25" s="574"/>
      <c r="J25" s="574"/>
      <c r="K25" s="574"/>
      <c r="L25" s="574"/>
      <c r="M25" s="574"/>
      <c r="N25" s="574"/>
      <c r="O25" s="574"/>
      <c r="P25" s="574"/>
    </row>
    <row r="27" spans="2:16" x14ac:dyDescent="0.3">
      <c r="E27" s="569" t="s">
        <v>219</v>
      </c>
      <c r="F27" s="569"/>
      <c r="G27" s="569"/>
      <c r="H27" s="569"/>
      <c r="I27" s="569"/>
      <c r="J27" s="569"/>
      <c r="K27" s="569"/>
      <c r="L27" s="569"/>
      <c r="M27" s="569"/>
      <c r="N27" s="569"/>
      <c r="O27" s="569"/>
      <c r="P27" s="569"/>
    </row>
    <row r="28" spans="2:16" x14ac:dyDescent="0.3">
      <c r="E28" s="569"/>
      <c r="F28" s="569"/>
      <c r="G28" s="569"/>
      <c r="H28" s="569"/>
      <c r="I28" s="569"/>
      <c r="J28" s="569"/>
      <c r="K28" s="569"/>
      <c r="L28" s="569"/>
      <c r="M28" s="569"/>
      <c r="N28" s="569"/>
      <c r="O28" s="569"/>
      <c r="P28" s="569"/>
    </row>
    <row r="29" spans="2:16" x14ac:dyDescent="0.3">
      <c r="E29" s="569"/>
      <c r="F29" s="569"/>
      <c r="G29" s="569"/>
      <c r="H29" s="569"/>
      <c r="I29" s="569"/>
      <c r="J29" s="569"/>
      <c r="K29" s="569"/>
      <c r="L29" s="569"/>
      <c r="M29" s="569"/>
      <c r="N29" s="569"/>
      <c r="O29" s="569"/>
      <c r="P29" s="569"/>
    </row>
    <row r="30" spans="2:16" x14ac:dyDescent="0.3">
      <c r="B30" t="s">
        <v>233</v>
      </c>
    </row>
    <row r="31" spans="2:16" ht="29.4" customHeight="1" x14ac:dyDescent="0.3">
      <c r="B31" s="567" t="s">
        <v>91</v>
      </c>
      <c r="C31" s="567"/>
      <c r="D31" s="567"/>
    </row>
    <row r="32" spans="2:16" x14ac:dyDescent="0.3">
      <c r="B32" t="s">
        <v>220</v>
      </c>
    </row>
  </sheetData>
  <mergeCells count="13">
    <mergeCell ref="D13:P13"/>
    <mergeCell ref="B31:D31"/>
    <mergeCell ref="B9:P9"/>
    <mergeCell ref="B6:P6"/>
    <mergeCell ref="D11:P11"/>
    <mergeCell ref="D16:P16"/>
    <mergeCell ref="D17:P17"/>
    <mergeCell ref="D18:P21"/>
    <mergeCell ref="D22:P25"/>
    <mergeCell ref="E27:P29"/>
    <mergeCell ref="D15:P15"/>
    <mergeCell ref="D12:P12"/>
    <mergeCell ref="D14:P14"/>
  </mergeCells>
  <hyperlinks>
    <hyperlink ref="B11" location="'1. ASSESSMENT PROFILE'!A1" display="1. ASSESSMENT PROFILE" xr:uid="{00000000-0004-0000-0000-000000000000}"/>
    <hyperlink ref="B22" location="'5b. PRESUMPTIVE REGISTER -  PL'!A1" display="5b. PRESUMPTIVE REGISTER - PL" xr:uid="{00000000-0004-0000-0000-000001000000}"/>
    <hyperlink ref="B23" location="'6b. LAB REGISTER - PL'!A1" display="6b. LAB REGISTER - PL" xr:uid="{00000000-0004-0000-0000-000002000000}"/>
    <hyperlink ref="B24" location="'7b. TB TX REGISTER - PL'!A1" display="7b. TB TX REGISTER - PL" xr:uid="{00000000-0004-0000-0000-000003000000}"/>
    <hyperlink ref="B13" location="'3.1 CASCADE ANALYSIS'!A1" display="2. SUMMARY AND ANALYSIS" xr:uid="{00000000-0004-0000-0000-000004000000}"/>
    <hyperlink ref="B16" location="'4.2 DATA QUALITY'!A1" display="4.2 DATA QUALITY" xr:uid="{00000000-0004-0000-0000-000005000000}"/>
    <hyperlink ref="B17" location="'4.3 TABLE SUMMARIES'!A1" display="4.3 TABLE SUMMARIES" xr:uid="{00000000-0004-0000-0000-000006000000}"/>
    <hyperlink ref="B18" location="'5a. PRESUMPTIVE REGISTER - AGG'!A1" display="5a. PRESUMPTIVE REGISTER - AGG" xr:uid="{00000000-0004-0000-0000-000007000000}"/>
    <hyperlink ref="B19" location="'6a. LAB REGISTER - AGG'!A1" display="6a. LAB REGISTER - AGG" xr:uid="{00000000-0004-0000-0000-000008000000}"/>
    <hyperlink ref="B20" location="'7a. TB TX REGISTER - AGG'!A1" display="7a. TB TX REGISTER - AGG" xr:uid="{00000000-0004-0000-0000-000009000000}"/>
    <hyperlink ref="B21" location="'8a. TPT REGISTER - AGG'!A1" display="8a. TPT REGISTER - AGG" xr:uid="{00000000-0004-0000-0000-00000A000000}"/>
    <hyperlink ref="B15" location="'4.1 COMPLETENESS'!A1" display="4.1 COMPLETENESS" xr:uid="{00000000-0004-0000-0000-00000B000000}"/>
    <hyperlink ref="B12" location="'2. FACILITY PROFILE'!A1" display="2. FACILITY PROFILE" xr:uid="{1C74636D-47F5-4FA8-9A83-8715171B855C}"/>
    <hyperlink ref="B14" location="'3.2 TAT ANALYSIS'!A1" display="3.2 TAT ANALYSIS" xr:uid="{5075914E-D006-45B5-AA12-848BF9F1B4D4}"/>
    <hyperlink ref="B25" location="'8b. TPT REGISTER - PL'!A1" display="8b. TPT REGISTER - PL" xr:uid="{21570F5F-21C2-47BC-B6C2-006543E09573}"/>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C00000"/>
  </sheetPr>
  <dimension ref="B1:X39"/>
  <sheetViews>
    <sheetView showGridLines="0" tabSelected="1" zoomScale="70" zoomScaleNormal="90" workbookViewId="0">
      <selection activeCell="T33" sqref="T33"/>
    </sheetView>
  </sheetViews>
  <sheetFormatPr defaultColWidth="8.6640625" defaultRowHeight="14.4" x14ac:dyDescent="0.3"/>
  <cols>
    <col min="1" max="1" width="3.6640625" style="11" customWidth="1"/>
    <col min="2" max="2" width="12.6640625" style="11" customWidth="1"/>
    <col min="3" max="11" width="16.109375" style="11" customWidth="1"/>
    <col min="12" max="12" width="25" style="11" customWidth="1"/>
    <col min="13" max="13" width="12.5546875" style="11" customWidth="1"/>
    <col min="14" max="14" width="9.44140625" style="11" hidden="1" customWidth="1"/>
    <col min="15" max="15" width="10.109375" style="11" customWidth="1"/>
    <col min="16" max="16" width="10.5546875" style="11" customWidth="1"/>
    <col min="17" max="17" width="10.6640625" style="11" customWidth="1"/>
    <col min="18" max="19" width="12.88671875" style="11" customWidth="1"/>
    <col min="20" max="23" width="25.6640625" style="11" customWidth="1"/>
    <col min="24" max="16384" width="8.6640625" style="11"/>
  </cols>
  <sheetData>
    <row r="1" spans="2:24" s="41" customFormat="1" ht="21" x14ac:dyDescent="0.3">
      <c r="B1" s="736" t="s">
        <v>83</v>
      </c>
      <c r="C1" s="736"/>
      <c r="D1" s="736"/>
      <c r="E1" s="736"/>
      <c r="F1" s="736"/>
      <c r="G1" s="736"/>
      <c r="H1" s="736"/>
      <c r="I1" s="736"/>
      <c r="J1" s="736"/>
      <c r="K1" s="736"/>
      <c r="L1" s="736"/>
      <c r="M1" s="736"/>
      <c r="N1" s="42"/>
      <c r="O1" s="42"/>
      <c r="P1" s="42"/>
      <c r="Q1" s="42"/>
      <c r="R1" s="42"/>
      <c r="S1" s="42"/>
      <c r="T1" s="42"/>
      <c r="U1" s="42"/>
      <c r="V1" s="42"/>
      <c r="W1" s="42"/>
    </row>
    <row r="2" spans="2:24" s="27" customFormat="1" ht="21.6" thickBot="1" x14ac:dyDescent="0.35">
      <c r="B2" s="61"/>
      <c r="C2" s="61"/>
      <c r="D2" s="61"/>
      <c r="E2" s="61"/>
      <c r="F2" s="61"/>
      <c r="G2" s="61"/>
      <c r="H2" s="12"/>
      <c r="I2" s="11"/>
      <c r="J2" s="11"/>
      <c r="K2" s="11"/>
      <c r="L2" s="11"/>
      <c r="M2" s="11"/>
      <c r="N2" s="11"/>
      <c r="O2" s="11"/>
      <c r="P2" s="11"/>
      <c r="Q2" s="11"/>
      <c r="R2" s="11"/>
      <c r="S2" s="11"/>
      <c r="T2" s="11"/>
      <c r="U2" s="11"/>
      <c r="V2" s="11"/>
      <c r="W2" s="11"/>
    </row>
    <row r="3" spans="2:24" s="6" customFormat="1" x14ac:dyDescent="0.3">
      <c r="B3" s="802" t="s">
        <v>76</v>
      </c>
      <c r="C3" s="803"/>
      <c r="D3" s="803"/>
      <c r="E3" s="803"/>
      <c r="F3" s="804"/>
      <c r="G3" s="248"/>
      <c r="H3" s="12"/>
      <c r="I3" s="11"/>
      <c r="J3" s="11"/>
      <c r="K3" s="11"/>
      <c r="L3" s="11"/>
      <c r="M3" s="11"/>
      <c r="N3" s="11"/>
      <c r="O3" s="11"/>
      <c r="P3" s="11"/>
      <c r="Q3" s="11"/>
      <c r="R3" s="11"/>
      <c r="S3" s="11"/>
      <c r="T3" s="11"/>
      <c r="U3" s="11"/>
      <c r="V3" s="11"/>
      <c r="W3" s="11"/>
    </row>
    <row r="4" spans="2:24" s="6" customFormat="1" x14ac:dyDescent="0.3">
      <c r="B4" s="805" t="s">
        <v>114</v>
      </c>
      <c r="C4" s="806"/>
      <c r="D4" s="806"/>
      <c r="E4" s="806"/>
      <c r="F4" s="807"/>
      <c r="G4" s="248"/>
      <c r="H4" s="12"/>
      <c r="I4" s="11"/>
      <c r="J4" s="11"/>
      <c r="K4" s="11"/>
      <c r="L4" s="11"/>
      <c r="M4" s="11"/>
      <c r="N4" s="11"/>
      <c r="O4" s="11"/>
      <c r="P4" s="11"/>
      <c r="Q4" s="11"/>
      <c r="R4" s="11"/>
      <c r="S4" s="11"/>
      <c r="T4" s="11"/>
      <c r="U4" s="11"/>
      <c r="V4" s="11"/>
      <c r="W4" s="11"/>
    </row>
    <row r="5" spans="2:24" s="6" customFormat="1" x14ac:dyDescent="0.3">
      <c r="B5" s="796" t="s">
        <v>361</v>
      </c>
      <c r="C5" s="797"/>
      <c r="D5" s="797"/>
      <c r="E5" s="797"/>
      <c r="F5" s="798"/>
      <c r="G5" s="248"/>
      <c r="H5" s="12"/>
      <c r="I5" s="11"/>
      <c r="J5" s="11"/>
      <c r="K5" s="11"/>
      <c r="L5" s="11"/>
      <c r="M5" s="11"/>
      <c r="N5" s="11"/>
      <c r="O5" s="11"/>
      <c r="P5" s="11"/>
      <c r="Q5" s="11"/>
      <c r="R5" s="11"/>
      <c r="S5" s="11"/>
      <c r="T5" s="11"/>
      <c r="U5" s="11"/>
      <c r="V5" s="11"/>
      <c r="W5" s="11"/>
    </row>
    <row r="6" spans="2:24" s="6" customFormat="1" ht="21" x14ac:dyDescent="0.3">
      <c r="B6" s="796"/>
      <c r="C6" s="797"/>
      <c r="D6" s="797"/>
      <c r="E6" s="797"/>
      <c r="F6" s="798"/>
      <c r="G6" s="64"/>
      <c r="H6" s="28"/>
      <c r="I6" s="28"/>
      <c r="J6" s="27"/>
      <c r="K6" s="27"/>
      <c r="L6" s="27"/>
      <c r="M6" s="27"/>
      <c r="N6" s="27"/>
      <c r="O6" s="12"/>
      <c r="P6" s="12"/>
      <c r="Q6" s="12"/>
      <c r="R6" s="12"/>
      <c r="S6" s="12"/>
      <c r="T6" s="12"/>
      <c r="U6" s="12"/>
      <c r="V6" s="12"/>
      <c r="W6" s="12"/>
    </row>
    <row r="7" spans="2:24" s="6" customFormat="1" ht="56.55" customHeight="1" thickBot="1" x14ac:dyDescent="0.35">
      <c r="B7" s="799"/>
      <c r="C7" s="800"/>
      <c r="D7" s="800"/>
      <c r="E7" s="800"/>
      <c r="F7" s="801"/>
      <c r="G7" s="64"/>
      <c r="H7" s="28"/>
      <c r="I7" s="28"/>
      <c r="J7" s="27"/>
      <c r="K7" s="27"/>
      <c r="L7" s="27"/>
      <c r="M7" s="27"/>
      <c r="N7" s="27"/>
      <c r="O7" s="12"/>
      <c r="P7" s="12"/>
      <c r="Q7" s="12"/>
      <c r="R7" s="12"/>
      <c r="S7" s="12"/>
      <c r="T7" s="12"/>
      <c r="U7" s="12"/>
      <c r="V7" s="12"/>
      <c r="W7" s="12"/>
    </row>
    <row r="8" spans="2:24" x14ac:dyDescent="0.3">
      <c r="B8" s="6"/>
      <c r="C8" s="6"/>
      <c r="D8" s="7"/>
      <c r="E8" s="7"/>
      <c r="F8" s="7"/>
      <c r="H8" s="12"/>
    </row>
    <row r="9" spans="2:24" x14ac:dyDescent="0.3">
      <c r="B9" s="322" t="s">
        <v>217</v>
      </c>
      <c r="C9" s="6"/>
      <c r="D9" s="108">
        <f>PLPresumptive[[#Totals],[Patient Count Helper Column]]</f>
        <v>0</v>
      </c>
      <c r="E9" s="7"/>
      <c r="F9" s="7"/>
      <c r="H9" s="12"/>
    </row>
    <row r="10" spans="2:24" ht="15" thickBot="1" x14ac:dyDescent="0.35">
      <c r="B10" s="6"/>
      <c r="C10" s="6"/>
      <c r="D10" s="7"/>
      <c r="E10" s="7"/>
      <c r="F10" s="7"/>
      <c r="H10" s="12"/>
      <c r="M10"/>
      <c r="N10"/>
      <c r="O10"/>
      <c r="P10"/>
      <c r="Q10"/>
      <c r="R10"/>
      <c r="S10"/>
      <c r="T10"/>
    </row>
    <row r="11" spans="2:24" ht="18.600000000000001" customHeight="1" thickBot="1" x14ac:dyDescent="0.35">
      <c r="B11" s="737" t="s">
        <v>86</v>
      </c>
      <c r="C11" s="791"/>
      <c r="D11" s="791"/>
      <c r="E11" s="791"/>
      <c r="F11" s="791"/>
      <c r="G11" s="792"/>
      <c r="H11" s="792"/>
      <c r="I11" s="792"/>
      <c r="J11" s="792"/>
      <c r="K11" s="792"/>
      <c r="L11" s="792"/>
      <c r="M11" s="793"/>
      <c r="N11"/>
      <c r="O11"/>
      <c r="P11"/>
      <c r="Q11"/>
      <c r="R11"/>
      <c r="S11"/>
      <c r="T11"/>
    </row>
    <row r="12" spans="2:24" ht="18" x14ac:dyDescent="0.3">
      <c r="B12" s="416"/>
      <c r="C12" s="72"/>
      <c r="D12" s="417"/>
      <c r="E12" s="417"/>
      <c r="F12" s="71"/>
      <c r="G12" s="788" t="s">
        <v>17</v>
      </c>
      <c r="H12" s="789"/>
      <c r="I12" s="789"/>
      <c r="J12" s="789"/>
      <c r="K12" s="789"/>
      <c r="L12" s="789"/>
      <c r="M12" s="790"/>
      <c r="N12"/>
      <c r="O12"/>
      <c r="P12"/>
      <c r="Q12"/>
      <c r="R12"/>
      <c r="S12"/>
    </row>
    <row r="13" spans="2:24" s="250" customFormat="1" ht="58.2" thickBot="1" x14ac:dyDescent="0.35">
      <c r="B13" s="263" t="s">
        <v>185</v>
      </c>
      <c r="C13" s="251" t="s">
        <v>305</v>
      </c>
      <c r="D13" s="251" t="s">
        <v>13</v>
      </c>
      <c r="E13" s="251" t="s">
        <v>186</v>
      </c>
      <c r="F13" s="251" t="s">
        <v>73</v>
      </c>
      <c r="G13" s="251" t="s">
        <v>115</v>
      </c>
      <c r="H13" s="274" t="s">
        <v>116</v>
      </c>
      <c r="I13" s="274" t="s">
        <v>187</v>
      </c>
      <c r="J13" s="274" t="s">
        <v>16</v>
      </c>
      <c r="K13" s="274" t="s">
        <v>155</v>
      </c>
      <c r="L13" s="274" t="s">
        <v>227</v>
      </c>
      <c r="M13" s="275" t="s">
        <v>228</v>
      </c>
      <c r="N13" s="330" t="s">
        <v>218</v>
      </c>
    </row>
    <row r="14" spans="2:24" x14ac:dyDescent="0.3">
      <c r="B14" s="260" t="s">
        <v>9</v>
      </c>
      <c r="C14" s="255"/>
      <c r="D14" s="255"/>
      <c r="E14" s="255"/>
      <c r="F14" s="255"/>
      <c r="G14" s="323"/>
      <c r="H14" s="258"/>
      <c r="I14" s="258"/>
      <c r="J14" s="255"/>
      <c r="K14" s="255"/>
      <c r="L14" s="255"/>
      <c r="M14" s="378"/>
      <c r="N14" s="331">
        <f>COUNTA(PLPresumptive[[#This Row],[Entry Point]:[mWRD RIF Result]])</f>
        <v>0</v>
      </c>
      <c r="R14"/>
      <c r="S14"/>
      <c r="T14"/>
      <c r="U14"/>
      <c r="V14"/>
      <c r="W14"/>
      <c r="X14"/>
    </row>
    <row r="15" spans="2:24" x14ac:dyDescent="0.3">
      <c r="B15" s="261" t="s">
        <v>10</v>
      </c>
      <c r="C15" s="255"/>
      <c r="D15" s="257"/>
      <c r="E15" s="257"/>
      <c r="F15" s="257"/>
      <c r="G15" s="323"/>
      <c r="H15" s="258"/>
      <c r="I15" s="258"/>
      <c r="J15" s="257"/>
      <c r="K15" s="257"/>
      <c r="L15" s="257"/>
      <c r="M15" s="378"/>
      <c r="N15" s="331">
        <f>COUNTA(PLPresumptive[[#This Row],[Entry Point]:[mWRD RIF Result]])</f>
        <v>0</v>
      </c>
    </row>
    <row r="16" spans="2:24" x14ac:dyDescent="0.3">
      <c r="B16" s="262" t="s">
        <v>11</v>
      </c>
      <c r="C16" s="255"/>
      <c r="D16" s="257"/>
      <c r="E16" s="257"/>
      <c r="F16" s="257"/>
      <c r="G16" s="323"/>
      <c r="H16" s="258"/>
      <c r="I16" s="258"/>
      <c r="J16" s="257"/>
      <c r="K16" s="257"/>
      <c r="L16" s="257"/>
      <c r="M16" s="378"/>
      <c r="N16" s="331">
        <f>COUNTA(PLPresumptive[[#This Row],[Entry Point]:[mWRD RIF Result]])</f>
        <v>0</v>
      </c>
    </row>
    <row r="17" spans="2:14" x14ac:dyDescent="0.3">
      <c r="B17" s="262" t="s">
        <v>12</v>
      </c>
      <c r="C17" s="255"/>
      <c r="D17" s="257"/>
      <c r="E17" s="257"/>
      <c r="F17" s="257"/>
      <c r="G17" s="323"/>
      <c r="H17" s="258"/>
      <c r="I17" s="258"/>
      <c r="J17" s="257"/>
      <c r="K17" s="257"/>
      <c r="L17" s="257"/>
      <c r="M17" s="378"/>
      <c r="N17" s="331">
        <f>COUNTA(PLPresumptive[[#This Row],[Entry Point]:[mWRD RIF Result]])</f>
        <v>0</v>
      </c>
    </row>
    <row r="18" spans="2:14" x14ac:dyDescent="0.3">
      <c r="B18" s="261" t="s">
        <v>32</v>
      </c>
      <c r="C18" s="255"/>
      <c r="D18" s="257"/>
      <c r="E18" s="257"/>
      <c r="F18" s="257"/>
      <c r="G18" s="323"/>
      <c r="H18" s="258"/>
      <c r="I18" s="258"/>
      <c r="J18" s="257"/>
      <c r="K18" s="257"/>
      <c r="L18" s="257"/>
      <c r="M18" s="378"/>
      <c r="N18" s="331">
        <f>COUNTA(PLPresumptive[[#This Row],[Entry Point]:[mWRD RIF Result]])</f>
        <v>0</v>
      </c>
    </row>
    <row r="19" spans="2:14" x14ac:dyDescent="0.3">
      <c r="B19" s="261" t="s">
        <v>33</v>
      </c>
      <c r="C19" s="255"/>
      <c r="D19" s="257"/>
      <c r="E19" s="257"/>
      <c r="F19" s="257"/>
      <c r="G19" s="323"/>
      <c r="H19" s="258"/>
      <c r="I19" s="258"/>
      <c r="J19" s="257"/>
      <c r="K19" s="257"/>
      <c r="L19" s="257"/>
      <c r="M19" s="378"/>
      <c r="N19" s="331">
        <f>COUNTA(PLPresumptive[[#This Row],[Entry Point]:[mWRD RIF Result]])</f>
        <v>0</v>
      </c>
    </row>
    <row r="20" spans="2:14" x14ac:dyDescent="0.3">
      <c r="B20" s="262" t="s">
        <v>34</v>
      </c>
      <c r="C20" s="255"/>
      <c r="D20" s="257"/>
      <c r="E20" s="257"/>
      <c r="F20" s="257"/>
      <c r="G20" s="323"/>
      <c r="H20" s="258"/>
      <c r="I20" s="258"/>
      <c r="J20" s="257"/>
      <c r="K20" s="257"/>
      <c r="L20" s="257"/>
      <c r="M20" s="378"/>
      <c r="N20" s="331">
        <f>COUNTA(PLPresumptive[[#This Row],[Entry Point]:[mWRD RIF Result]])</f>
        <v>0</v>
      </c>
    </row>
    <row r="21" spans="2:14" x14ac:dyDescent="0.3">
      <c r="B21" s="262" t="s">
        <v>35</v>
      </c>
      <c r="C21" s="255"/>
      <c r="D21" s="257"/>
      <c r="E21" s="257"/>
      <c r="F21" s="257"/>
      <c r="G21" s="323"/>
      <c r="H21" s="258"/>
      <c r="I21" s="258"/>
      <c r="J21" s="257"/>
      <c r="K21" s="257"/>
      <c r="L21" s="257"/>
      <c r="M21" s="378"/>
      <c r="N21" s="331">
        <f>COUNTA(PLPresumptive[[#This Row],[Entry Point]:[mWRD RIF Result]])</f>
        <v>0</v>
      </c>
    </row>
    <row r="22" spans="2:14" x14ac:dyDescent="0.3">
      <c r="B22" s="261" t="s">
        <v>36</v>
      </c>
      <c r="C22" s="255"/>
      <c r="D22" s="257"/>
      <c r="E22" s="257"/>
      <c r="F22" s="257"/>
      <c r="G22" s="323"/>
      <c r="H22" s="258"/>
      <c r="I22" s="258"/>
      <c r="J22" s="257"/>
      <c r="K22" s="257"/>
      <c r="L22" s="257"/>
      <c r="M22" s="378"/>
      <c r="N22" s="331">
        <f>COUNTA(PLPresumptive[[#This Row],[Entry Point]:[mWRD RIF Result]])</f>
        <v>0</v>
      </c>
    </row>
    <row r="23" spans="2:14" x14ac:dyDescent="0.3">
      <c r="B23" s="261" t="s">
        <v>37</v>
      </c>
      <c r="C23" s="255"/>
      <c r="D23" s="257"/>
      <c r="E23" s="257"/>
      <c r="F23" s="257"/>
      <c r="G23" s="323"/>
      <c r="H23" s="258"/>
      <c r="I23" s="258"/>
      <c r="J23" s="257"/>
      <c r="K23" s="257"/>
      <c r="L23" s="257"/>
      <c r="M23" s="378"/>
      <c r="N23" s="331">
        <f>COUNTA(PLPresumptive[[#This Row],[Entry Point]:[mWRD RIF Result]])</f>
        <v>0</v>
      </c>
    </row>
    <row r="24" spans="2:14" x14ac:dyDescent="0.3">
      <c r="B24" s="262" t="s">
        <v>38</v>
      </c>
      <c r="C24" s="255"/>
      <c r="D24" s="257"/>
      <c r="E24" s="257"/>
      <c r="F24" s="257"/>
      <c r="G24" s="323"/>
      <c r="H24" s="258"/>
      <c r="I24" s="258"/>
      <c r="J24" s="257"/>
      <c r="K24" s="257"/>
      <c r="L24" s="257"/>
      <c r="M24" s="378"/>
      <c r="N24" s="331">
        <f>COUNTA(PLPresumptive[[#This Row],[Entry Point]:[mWRD RIF Result]])</f>
        <v>0</v>
      </c>
    </row>
    <row r="25" spans="2:14" x14ac:dyDescent="0.3">
      <c r="B25" s="262" t="s">
        <v>39</v>
      </c>
      <c r="C25" s="255"/>
      <c r="D25" s="257"/>
      <c r="E25" s="257"/>
      <c r="F25" s="257"/>
      <c r="G25" s="323"/>
      <c r="H25" s="258"/>
      <c r="I25" s="258"/>
      <c r="J25" s="257"/>
      <c r="K25" s="257"/>
      <c r="L25" s="257"/>
      <c r="M25" s="378"/>
      <c r="N25" s="331">
        <f>COUNTA(PLPresumptive[[#This Row],[Entry Point]:[mWRD RIF Result]])</f>
        <v>0</v>
      </c>
    </row>
    <row r="26" spans="2:14" x14ac:dyDescent="0.3">
      <c r="B26" s="261" t="s">
        <v>40</v>
      </c>
      <c r="C26" s="255"/>
      <c r="D26" s="257"/>
      <c r="E26" s="257"/>
      <c r="F26" s="257"/>
      <c r="G26" s="323"/>
      <c r="H26" s="258"/>
      <c r="I26" s="258"/>
      <c r="J26" s="257"/>
      <c r="K26" s="257"/>
      <c r="L26" s="257"/>
      <c r="M26" s="378"/>
      <c r="N26" s="331">
        <f>COUNTA(PLPresumptive[[#This Row],[Entry Point]:[mWRD RIF Result]])</f>
        <v>0</v>
      </c>
    </row>
    <row r="27" spans="2:14" x14ac:dyDescent="0.3">
      <c r="B27" s="261" t="s">
        <v>41</v>
      </c>
      <c r="C27" s="255"/>
      <c r="D27" s="257"/>
      <c r="E27" s="257"/>
      <c r="F27" s="257"/>
      <c r="G27" s="323"/>
      <c r="H27" s="258"/>
      <c r="I27" s="258"/>
      <c r="J27" s="257"/>
      <c r="K27" s="257"/>
      <c r="L27" s="257"/>
      <c r="M27" s="378"/>
      <c r="N27" s="331">
        <f>COUNTA(PLPresumptive[[#This Row],[Entry Point]:[mWRD RIF Result]])</f>
        <v>0</v>
      </c>
    </row>
    <row r="28" spans="2:14" x14ac:dyDescent="0.3">
      <c r="B28" s="262" t="s">
        <v>42</v>
      </c>
      <c r="C28" s="255"/>
      <c r="D28" s="257"/>
      <c r="E28" s="257"/>
      <c r="F28" s="257"/>
      <c r="G28" s="323"/>
      <c r="H28" s="258"/>
      <c r="I28" s="258"/>
      <c r="J28" s="257"/>
      <c r="K28" s="257"/>
      <c r="L28" s="257"/>
      <c r="M28" s="378"/>
      <c r="N28" s="331">
        <f>COUNTA(PLPresumptive[[#This Row],[Entry Point]:[mWRD RIF Result]])</f>
        <v>0</v>
      </c>
    </row>
    <row r="29" spans="2:14" x14ac:dyDescent="0.3">
      <c r="B29" s="262" t="s">
        <v>43</v>
      </c>
      <c r="C29" s="255"/>
      <c r="D29" s="257"/>
      <c r="E29" s="257"/>
      <c r="F29" s="257"/>
      <c r="G29" s="323"/>
      <c r="H29" s="258"/>
      <c r="I29" s="258"/>
      <c r="J29" s="257"/>
      <c r="K29" s="257"/>
      <c r="L29" s="257"/>
      <c r="M29" s="378"/>
      <c r="N29" s="331">
        <f>COUNTA(PLPresumptive[[#This Row],[Entry Point]:[mWRD RIF Result]])</f>
        <v>0</v>
      </c>
    </row>
    <row r="30" spans="2:14" x14ac:dyDescent="0.3">
      <c r="B30" s="261" t="s">
        <v>44</v>
      </c>
      <c r="C30" s="255"/>
      <c r="D30" s="257"/>
      <c r="E30" s="257"/>
      <c r="F30" s="257"/>
      <c r="G30" s="323"/>
      <c r="H30" s="258"/>
      <c r="I30" s="258"/>
      <c r="J30" s="257"/>
      <c r="K30" s="257"/>
      <c r="L30" s="257"/>
      <c r="M30" s="378"/>
      <c r="N30" s="331">
        <f>COUNTA(PLPresumptive[[#This Row],[Entry Point]:[mWRD RIF Result]])</f>
        <v>0</v>
      </c>
    </row>
    <row r="31" spans="2:14" x14ac:dyDescent="0.3">
      <c r="B31" s="261" t="s">
        <v>45</v>
      </c>
      <c r="C31" s="255"/>
      <c r="D31" s="257"/>
      <c r="E31" s="257"/>
      <c r="F31" s="257"/>
      <c r="G31" s="323"/>
      <c r="H31" s="258"/>
      <c r="I31" s="258"/>
      <c r="J31" s="257"/>
      <c r="K31" s="257"/>
      <c r="L31" s="257"/>
      <c r="M31" s="378"/>
      <c r="N31" s="331">
        <f>COUNTA(PLPresumptive[[#This Row],[Entry Point]:[mWRD RIF Result]])</f>
        <v>0</v>
      </c>
    </row>
    <row r="32" spans="2:14" x14ac:dyDescent="0.3">
      <c r="B32" s="262" t="s">
        <v>46</v>
      </c>
      <c r="C32" s="255"/>
      <c r="D32" s="257"/>
      <c r="E32" s="257"/>
      <c r="F32" s="257"/>
      <c r="G32" s="323"/>
      <c r="H32" s="258"/>
      <c r="I32" s="258"/>
      <c r="J32" s="257"/>
      <c r="K32" s="257"/>
      <c r="L32" s="257"/>
      <c r="M32" s="378"/>
      <c r="N32" s="331">
        <f>COUNTA(PLPresumptive[[#This Row],[Entry Point]:[mWRD RIF Result]])</f>
        <v>0</v>
      </c>
    </row>
    <row r="33" spans="2:21" x14ac:dyDescent="0.3">
      <c r="B33" s="262" t="s">
        <v>47</v>
      </c>
      <c r="C33" s="255"/>
      <c r="D33" s="257"/>
      <c r="E33" s="257"/>
      <c r="F33" s="257"/>
      <c r="G33" s="323"/>
      <c r="H33" s="258"/>
      <c r="I33" s="258"/>
      <c r="J33" s="257"/>
      <c r="K33" s="257"/>
      <c r="L33" s="257"/>
      <c r="M33" s="379"/>
      <c r="N33" s="331">
        <f>COUNTA(PLPresumptive[[#This Row],[Entry Point]:[mWRD RIF Result]])</f>
        <v>0</v>
      </c>
      <c r="O33" s="12"/>
    </row>
    <row r="34" spans="2:21" ht="15" hidden="1" thickBot="1" x14ac:dyDescent="0.35">
      <c r="B34" s="316" t="s">
        <v>188</v>
      </c>
      <c r="C34" s="317">
        <f>COUNTA(PLPresumptive[Entry Point])</f>
        <v>0</v>
      </c>
      <c r="D34" s="317">
        <f>COUNTA(PLPresumptive[Sex])</f>
        <v>0</v>
      </c>
      <c r="E34" s="317">
        <f>COUNTA(PLPresumptive[Age 
(&lt;15, 15+)])</f>
        <v>0</v>
      </c>
      <c r="F34" s="317">
        <f>COUNTA(PLPresumptive[Specimen Collection Documented])</f>
        <v>0</v>
      </c>
      <c r="G34" s="317">
        <f>COUNTA(PLPresumptive[Date of Specimen Collection*])</f>
        <v>0</v>
      </c>
      <c r="H34" s="317">
        <f>COUNTA(PLPresumptive[Date Specimen was Sent to Lab*])</f>
        <v>0</v>
      </c>
      <c r="I34" s="317">
        <f>COUNTA(PLPresumptive[Date TB Result Released*])</f>
        <v>0</v>
      </c>
      <c r="J34" s="317">
        <f>COUNTA(PLPresumptive[AFB Result])</f>
        <v>0</v>
      </c>
      <c r="K34" s="317">
        <f>COUNTA(PLPresumptive[LAM Result])</f>
        <v>0</v>
      </c>
      <c r="L34" s="317">
        <f>COUNTA(PLPresumptive[mWRD MTB Result])</f>
        <v>0</v>
      </c>
      <c r="M34" s="318">
        <f>COUNTA(PLPresumptive[mWRD RIF Result])</f>
        <v>0</v>
      </c>
      <c r="N34" s="332">
        <f>COUNTIF(PLPresumptive[Patient Count Helper Column], "&gt;0")</f>
        <v>0</v>
      </c>
      <c r="O34" s="12"/>
      <c r="P34" s="12"/>
    </row>
    <row r="35" spans="2:21" ht="15" thickBot="1" x14ac:dyDescent="0.35">
      <c r="B35" s="319" t="s">
        <v>188</v>
      </c>
      <c r="C35" s="320">
        <f>PLPresumptive[[#Totals],[Entry Point]]</f>
        <v>0</v>
      </c>
      <c r="D35" s="320">
        <f>PLPresumptive[[#Totals],[Sex]]</f>
        <v>0</v>
      </c>
      <c r="E35" s="320">
        <f>PLPresumptive[[#Totals],[Age 
(&lt;15, 15+)]]</f>
        <v>0</v>
      </c>
      <c r="F35" s="320">
        <f>PLPresumptive[[#Totals],[Specimen Collection Documented]]</f>
        <v>0</v>
      </c>
      <c r="G35" s="320">
        <f>PLPresumptive[[#Totals],[Date of Specimen Collection*]]</f>
        <v>0</v>
      </c>
      <c r="H35" s="320">
        <f>PLPresumptive[[#Totals],[Date Specimen was Sent to Lab*]]</f>
        <v>0</v>
      </c>
      <c r="I35" s="320">
        <f>PLPresumptive[[#Totals],[Date TB Result Released*]]</f>
        <v>0</v>
      </c>
      <c r="J35" s="320">
        <f>PLPresumptive[[#Totals],[AFB Result]]</f>
        <v>0</v>
      </c>
      <c r="K35" s="320">
        <f>PLPresumptive[[#Totals],[LAM Result]]</f>
        <v>0</v>
      </c>
      <c r="L35" s="320">
        <f>PLPresumptive[[#Totals],[mWRD MTB Result]]</f>
        <v>0</v>
      </c>
      <c r="M35" s="321">
        <f>PLPresumptive[[#Totals],[mWRD RIF Result]]</f>
        <v>0</v>
      </c>
      <c r="N35"/>
      <c r="O35"/>
      <c r="P35"/>
      <c r="Q35"/>
      <c r="R35"/>
      <c r="S35"/>
      <c r="T35" s="12"/>
      <c r="U35" s="12"/>
    </row>
    <row r="36" spans="2:21" x14ac:dyDescent="0.3">
      <c r="B36" s="795" t="s">
        <v>120</v>
      </c>
      <c r="C36" s="795"/>
      <c r="D36" s="795"/>
      <c r="E36" s="795"/>
      <c r="F36" s="795"/>
      <c r="G36" s="795"/>
      <c r="H36" s="33"/>
      <c r="I36" s="33"/>
      <c r="J36" s="33"/>
      <c r="K36" s="33"/>
      <c r="L36" s="33"/>
      <c r="M36" s="33"/>
      <c r="N36" s="33"/>
      <c r="O36" s="33"/>
      <c r="P36" s="33"/>
      <c r="Q36" s="33"/>
      <c r="R36" s="33"/>
    </row>
    <row r="37" spans="2:21" x14ac:dyDescent="0.3">
      <c r="B37" s="794"/>
      <c r="C37" s="794"/>
      <c r="D37" s="794"/>
      <c r="E37" s="794"/>
      <c r="F37" s="794"/>
      <c r="G37" s="794"/>
      <c r="H37" s="33"/>
      <c r="I37" s="33"/>
      <c r="J37" s="33"/>
      <c r="K37" s="33"/>
      <c r="L37" s="33"/>
      <c r="M37" s="33"/>
      <c r="N37" s="33"/>
      <c r="O37" s="33"/>
      <c r="P37" s="33"/>
      <c r="Q37" s="33"/>
      <c r="R37" s="33"/>
    </row>
    <row r="38" spans="2:21" hidden="1" x14ac:dyDescent="0.3">
      <c r="B38"/>
      <c r="D38" s="487" cm="1">
        <f t="array" ref="D38">SUM(COUNTIF(PLPresumptive[Sex],{"Female","Male"}))</f>
        <v>0</v>
      </c>
      <c r="E38" s="487" cm="1">
        <f t="array" ref="E38">SUM(COUNTIF(PLPresumptive[Age 
(&lt;15, 15+)],{"0-14","15+"}))</f>
        <v>0</v>
      </c>
      <c r="F38" s="487" cm="1">
        <f t="array" ref="F38">SUM(COUNTIF(PLPresumptive[Specimen Collection Documented],{"Yes"}))</f>
        <v>0</v>
      </c>
      <c r="G38" s="487">
        <f>COUNTA(PLPresumptive[Date of Specimen Collection*])</f>
        <v>0</v>
      </c>
      <c r="H38" s="487">
        <f>COUNTA(PLPresumptive[Date Specimen was Sent to Lab*])</f>
        <v>0</v>
      </c>
      <c r="I38" s="487">
        <f>COUNTA(PLPresumptive[Date TB Result Released*])</f>
        <v>0</v>
      </c>
      <c r="J38" s="487" cm="1">
        <f t="array" ref="J38">SUM(COUNTIF(PLPresumptive[AFB Result],{"Positive","Negative"}))</f>
        <v>0</v>
      </c>
      <c r="K38" s="487" cm="1">
        <f t="array" ref="K38">SUM(COUNTIF(PLPresumptive[LAM Result],{"LAM Positive","LAM Negative","LAM Invalid"}))</f>
        <v>0</v>
      </c>
      <c r="L38" s="487" cm="1">
        <f t="array" ref="L38">SUM(COUNTIF(PLPresumptive[mWRD MTB Result],{"MTB Detected","MTB Not Detected"}))</f>
        <v>0</v>
      </c>
      <c r="M38" s="487" cm="1">
        <f t="array" ref="M38">SUM(COUNTIF(PLPresumptive[mWRD RIF Result],{"RIF Resistance Detected","RIF Resistance Not Detected","RIF Indeterminate"}))</f>
        <v>0</v>
      </c>
      <c r="N38" s="33">
        <f>COUNTA(PLPresumptive[Patient Count Helper Column])</f>
        <v>20</v>
      </c>
      <c r="O38" s="33"/>
      <c r="P38" s="33"/>
      <c r="Q38" s="33"/>
      <c r="R38" s="33"/>
    </row>
    <row r="39" spans="2:21" x14ac:dyDescent="0.3">
      <c r="B39" s="33"/>
      <c r="C39" s="33"/>
      <c r="D39" s="33"/>
      <c r="E39" s="33"/>
      <c r="F39" s="33"/>
      <c r="G39" s="33"/>
      <c r="H39" s="33"/>
      <c r="I39" s="33"/>
      <c r="J39" s="33"/>
      <c r="K39" s="33"/>
      <c r="L39" s="33"/>
      <c r="M39" s="33"/>
      <c r="N39" s="33"/>
      <c r="O39" s="33"/>
      <c r="P39" s="33"/>
      <c r="Q39" s="33"/>
      <c r="R39" s="33"/>
    </row>
  </sheetData>
  <mergeCells count="9">
    <mergeCell ref="H1:M1"/>
    <mergeCell ref="G12:M12"/>
    <mergeCell ref="B11:M11"/>
    <mergeCell ref="B37:G37"/>
    <mergeCell ref="B1:G1"/>
    <mergeCell ref="B36:G36"/>
    <mergeCell ref="B5:F7"/>
    <mergeCell ref="B3:F3"/>
    <mergeCell ref="B4:F4"/>
  </mergeCells>
  <dataValidations count="7">
    <dataValidation type="list" allowBlank="1" showInputMessage="1" showErrorMessage="1" sqref="K14:K33" xr:uid="{00000000-0002-0000-0800-000000000000}">
      <formula1>"LAM Positive, LAM Negative, LAM Invalid, Blank"</formula1>
    </dataValidation>
    <dataValidation type="list" allowBlank="1" showInputMessage="1" showErrorMessage="1" sqref="F14:F33" xr:uid="{00000000-0002-0000-0800-000001000000}">
      <formula1>"Yes, No"</formula1>
    </dataValidation>
    <dataValidation type="list" allowBlank="1" showInputMessage="1" showErrorMessage="1" sqref="J14:J33" xr:uid="{00000000-0002-0000-0800-000002000000}">
      <formula1>"Positive, Negative, Blank"</formula1>
    </dataValidation>
    <dataValidation type="list" allowBlank="1" showInputMessage="1" showErrorMessage="1" sqref="L14:L33" xr:uid="{00000000-0002-0000-0800-000003000000}">
      <formula1>"MTB Detected, MTB Not Detected, Blank"</formula1>
    </dataValidation>
    <dataValidation type="list" allowBlank="1" showInputMessage="1" showErrorMessage="1" sqref="M14:M33" xr:uid="{00000000-0002-0000-0800-000004000000}">
      <formula1>"RIF Resistance Not Detected, RIF Resistance Detected, RIF Indeterminate, Blank"</formula1>
    </dataValidation>
    <dataValidation type="list" allowBlank="1" showInputMessage="1" showErrorMessage="1" sqref="D14:D33" xr:uid="{00000000-0002-0000-0800-000005000000}">
      <formula1>"Male, Female, Unknown, Blank"</formula1>
    </dataValidation>
    <dataValidation type="list" allowBlank="1" showInputMessage="1" showErrorMessage="1" sqref="E14:E33" xr:uid="{00000000-0002-0000-0800-000006000000}">
      <formula1>"0-14, 15+, Unknown, Blank"</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date" allowBlank="1" showInputMessage="1" showErrorMessage="1" errorTitle="Check Date" error="This is a retrospective analysis. Dates should be prior to today and in the designated date format. " xr:uid="{00000000-0002-0000-0800-000007000000}">
          <x14:formula1>
            <xm:f>36526</xm:f>
          </x14:formula1>
          <x14:formula2>
            <xm:f>'1. ASSESSMENT PROFILE'!$F$18</xm:f>
          </x14:formula2>
          <xm:sqref>G14:I33</xm:sqref>
        </x14:dataValidation>
        <x14:dataValidation type="list" allowBlank="1" showInputMessage="1" showErrorMessage="1" xr:uid="{915EA21D-5FAD-46E0-972F-5553844F96E4}">
          <x14:formula1>
            <xm:f>'1. ASSESSMENT PROFILE'!$D$38:$D$42</xm:f>
          </x14:formula1>
          <xm:sqref>C14:C33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4" tint="-0.499984740745262"/>
  </sheetPr>
  <dimension ref="A1:AE66"/>
  <sheetViews>
    <sheetView showGridLines="0" topLeftCell="A26" zoomScale="60" zoomScaleNormal="60" workbookViewId="0">
      <selection activeCell="C13" sqref="C13:T27"/>
    </sheetView>
  </sheetViews>
  <sheetFormatPr defaultRowHeight="14.4" x14ac:dyDescent="0.3"/>
  <cols>
    <col min="1" max="1" width="6.33203125" customWidth="1"/>
    <col min="2" max="18" width="16" customWidth="1"/>
    <col min="19" max="19" width="10.109375" customWidth="1"/>
    <col min="20" max="20" width="20.109375" customWidth="1"/>
    <col min="21" max="21" width="9.88671875" customWidth="1"/>
    <col min="22" max="22" width="13.33203125" customWidth="1"/>
    <col min="23" max="27" width="11.5546875" customWidth="1"/>
  </cols>
  <sheetData>
    <row r="1" spans="1:31" s="201" customFormat="1" ht="21" x14ac:dyDescent="0.3">
      <c r="A1" s="808" t="s">
        <v>146</v>
      </c>
      <c r="B1" s="808"/>
      <c r="C1" s="808"/>
      <c r="D1" s="808"/>
      <c r="E1" s="808"/>
      <c r="F1" s="808"/>
      <c r="G1" s="808"/>
      <c r="H1" s="808"/>
      <c r="I1" s="808"/>
      <c r="J1" s="808"/>
      <c r="K1" s="808"/>
      <c r="L1" s="808"/>
      <c r="M1" s="808"/>
      <c r="N1" s="808"/>
      <c r="O1" s="808"/>
      <c r="P1" s="808"/>
      <c r="Q1" s="808"/>
      <c r="R1" s="808"/>
      <c r="S1" s="808"/>
      <c r="T1" s="808"/>
    </row>
    <row r="2" spans="1:31" s="193" customFormat="1" ht="21.6" thickBot="1" x14ac:dyDescent="0.35">
      <c r="A2" s="192"/>
      <c r="B2" s="184"/>
      <c r="C2" s="184"/>
      <c r="D2" s="184"/>
      <c r="E2" s="184"/>
      <c r="F2" s="184"/>
      <c r="G2" s="184"/>
      <c r="H2" s="184"/>
      <c r="I2" s="184"/>
      <c r="J2" s="184"/>
      <c r="K2" s="184"/>
      <c r="L2" s="184"/>
      <c r="M2" s="184"/>
      <c r="N2" s="184"/>
      <c r="O2" s="184"/>
      <c r="P2" s="184"/>
      <c r="Q2" s="184"/>
      <c r="R2" s="184"/>
      <c r="S2" s="184"/>
      <c r="T2" s="184"/>
      <c r="U2" s="163"/>
      <c r="V2" s="163"/>
      <c r="W2" s="163"/>
      <c r="X2" s="163"/>
    </row>
    <row r="3" spans="1:31" s="20" customFormat="1" x14ac:dyDescent="0.3">
      <c r="B3" s="811" t="s">
        <v>145</v>
      </c>
      <c r="C3" s="812"/>
      <c r="D3" s="812"/>
      <c r="E3" s="812"/>
      <c r="F3" s="812"/>
      <c r="G3" s="812"/>
      <c r="H3" s="812"/>
      <c r="I3" s="812"/>
      <c r="J3" s="812"/>
      <c r="K3" s="812"/>
      <c r="L3" s="812"/>
      <c r="M3" s="812"/>
      <c r="N3" s="812"/>
      <c r="O3" s="812"/>
      <c r="P3" s="812"/>
      <c r="Q3" s="812"/>
      <c r="R3" s="813"/>
      <c r="S3"/>
      <c r="T3"/>
      <c r="U3" s="156"/>
      <c r="V3" s="156"/>
      <c r="W3" s="156"/>
      <c r="X3" s="156"/>
    </row>
    <row r="4" spans="1:31" s="20" customFormat="1" x14ac:dyDescent="0.3">
      <c r="B4" s="820" t="s">
        <v>150</v>
      </c>
      <c r="C4" s="821"/>
      <c r="D4" s="821"/>
      <c r="E4" s="821"/>
      <c r="F4" s="821"/>
      <c r="G4" s="821"/>
      <c r="H4" s="821"/>
      <c r="I4" s="821"/>
      <c r="J4" s="821"/>
      <c r="K4" s="821"/>
      <c r="L4" s="821"/>
      <c r="M4" s="821"/>
      <c r="N4" s="821"/>
      <c r="O4" s="821"/>
      <c r="P4" s="821"/>
      <c r="Q4" s="821"/>
      <c r="R4" s="822"/>
      <c r="S4"/>
      <c r="T4"/>
      <c r="U4" s="156"/>
      <c r="V4" s="156"/>
      <c r="W4" s="156"/>
      <c r="X4" s="156"/>
    </row>
    <row r="5" spans="1:31" s="20" customFormat="1" x14ac:dyDescent="0.3">
      <c r="B5" s="820" t="s">
        <v>148</v>
      </c>
      <c r="C5" s="821"/>
      <c r="D5" s="821"/>
      <c r="E5" s="821"/>
      <c r="F5" s="821"/>
      <c r="G5" s="821"/>
      <c r="H5" s="821"/>
      <c r="I5" s="821"/>
      <c r="J5" s="821"/>
      <c r="K5" s="821"/>
      <c r="L5" s="821"/>
      <c r="M5" s="821"/>
      <c r="N5" s="821"/>
      <c r="O5" s="821"/>
      <c r="P5" s="821"/>
      <c r="Q5" s="821"/>
      <c r="R5" s="822"/>
      <c r="S5"/>
      <c r="T5"/>
      <c r="U5" s="156"/>
      <c r="V5" s="156"/>
      <c r="W5" s="156"/>
      <c r="X5" s="156"/>
    </row>
    <row r="6" spans="1:31" x14ac:dyDescent="0.3">
      <c r="B6" s="820" t="s">
        <v>147</v>
      </c>
      <c r="C6" s="821"/>
      <c r="D6" s="821"/>
      <c r="E6" s="821"/>
      <c r="F6" s="821"/>
      <c r="G6" s="821"/>
      <c r="H6" s="821"/>
      <c r="I6" s="821"/>
      <c r="J6" s="821"/>
      <c r="K6" s="821"/>
      <c r="L6" s="821"/>
      <c r="M6" s="821"/>
      <c r="N6" s="821"/>
      <c r="O6" s="821"/>
      <c r="P6" s="821"/>
      <c r="Q6" s="821"/>
      <c r="R6" s="822"/>
      <c r="U6" s="163"/>
      <c r="V6" s="163"/>
      <c r="W6" s="163"/>
      <c r="X6" s="163"/>
    </row>
    <row r="7" spans="1:31" ht="14.4" customHeight="1" x14ac:dyDescent="0.3">
      <c r="B7" s="817" t="s">
        <v>144</v>
      </c>
      <c r="C7" s="818"/>
      <c r="D7" s="818"/>
      <c r="E7" s="818"/>
      <c r="F7" s="818"/>
      <c r="G7" s="818"/>
      <c r="H7" s="818"/>
      <c r="I7" s="818"/>
      <c r="J7" s="818"/>
      <c r="K7" s="818"/>
      <c r="L7" s="818"/>
      <c r="M7" s="818"/>
      <c r="N7" s="818"/>
      <c r="O7" s="818"/>
      <c r="P7" s="818"/>
      <c r="Q7" s="818"/>
      <c r="R7" s="819"/>
      <c r="U7" s="163"/>
      <c r="V7" s="163"/>
      <c r="W7" s="163"/>
      <c r="X7" s="163"/>
    </row>
    <row r="8" spans="1:31" s="20" customFormat="1" ht="15" customHeight="1" thickBot="1" x14ac:dyDescent="0.35">
      <c r="B8" s="814" t="s">
        <v>363</v>
      </c>
      <c r="C8" s="815"/>
      <c r="D8" s="815"/>
      <c r="E8" s="815"/>
      <c r="F8" s="815"/>
      <c r="G8" s="815"/>
      <c r="H8" s="815"/>
      <c r="I8" s="815"/>
      <c r="J8" s="815"/>
      <c r="K8" s="815"/>
      <c r="L8" s="815"/>
      <c r="M8" s="815"/>
      <c r="N8" s="815"/>
      <c r="O8" s="815"/>
      <c r="P8" s="815"/>
      <c r="Q8" s="815"/>
      <c r="R8" s="816"/>
      <c r="S8"/>
      <c r="T8"/>
      <c r="U8" s="156"/>
      <c r="V8" s="156"/>
      <c r="W8" s="156"/>
      <c r="X8" s="156"/>
    </row>
    <row r="9" spans="1:31" s="20" customFormat="1" x14ac:dyDescent="0.3">
      <c r="A9" s="387"/>
      <c r="B9" s="387"/>
      <c r="C9" s="156"/>
      <c r="D9" s="155"/>
      <c r="E9" s="156"/>
      <c r="F9" s="155"/>
      <c r="G9" s="157"/>
      <c r="H9" s="158"/>
      <c r="I9" s="156"/>
      <c r="J9" s="156"/>
      <c r="K9" s="156"/>
      <c r="L9" s="156"/>
      <c r="M9" s="156"/>
      <c r="N9" s="156"/>
      <c r="O9" s="156"/>
      <c r="P9" s="156"/>
      <c r="Q9" s="156"/>
      <c r="R9" s="156"/>
      <c r="S9" s="156"/>
      <c r="T9" s="156"/>
      <c r="U9" s="156"/>
      <c r="V9" s="156"/>
      <c r="W9" s="156"/>
      <c r="X9" s="156"/>
    </row>
    <row r="10" spans="1:31" ht="14.4" customHeight="1" x14ac:dyDescent="0.3">
      <c r="A10" s="112"/>
      <c r="B10" s="112"/>
      <c r="C10" s="112"/>
      <c r="U10" s="163"/>
    </row>
    <row r="11" spans="1:31" s="107" customFormat="1" ht="28.8" customHeight="1" x14ac:dyDescent="0.3">
      <c r="A11" s="112"/>
      <c r="B11" s="519"/>
      <c r="C11" s="518"/>
      <c r="D11" s="824" t="s">
        <v>266</v>
      </c>
      <c r="E11" s="825"/>
      <c r="F11" s="809" t="s">
        <v>14</v>
      </c>
      <c r="G11" s="810"/>
      <c r="H11" s="809" t="s">
        <v>127</v>
      </c>
      <c r="I11" s="810"/>
      <c r="J11" s="809" t="s">
        <v>224</v>
      </c>
      <c r="K11" s="823"/>
      <c r="L11" s="823"/>
      <c r="M11" s="823"/>
      <c r="N11" s="810"/>
      <c r="O11" s="809" t="s">
        <v>129</v>
      </c>
      <c r="P11" s="823"/>
      <c r="Q11" s="810"/>
      <c r="R11" s="809" t="s">
        <v>57</v>
      </c>
      <c r="S11" s="810"/>
      <c r="T11" s="141" t="s">
        <v>58</v>
      </c>
      <c r="U11" s="335"/>
      <c r="V11"/>
      <c r="W11"/>
      <c r="X11"/>
      <c r="Y11"/>
      <c r="Z11"/>
      <c r="AA11"/>
      <c r="AB11"/>
      <c r="AC11"/>
      <c r="AD11"/>
    </row>
    <row r="12" spans="1:31" s="17" customFormat="1" ht="81" customHeight="1" x14ac:dyDescent="0.3">
      <c r="A12"/>
      <c r="B12" s="517" t="s">
        <v>59</v>
      </c>
      <c r="C12" s="326" t="s">
        <v>60</v>
      </c>
      <c r="D12" s="399" t="s">
        <v>264</v>
      </c>
      <c r="E12" s="399" t="s">
        <v>265</v>
      </c>
      <c r="F12" s="141" t="s">
        <v>53</v>
      </c>
      <c r="G12" s="326" t="s">
        <v>61</v>
      </c>
      <c r="H12" s="141" t="s">
        <v>6</v>
      </c>
      <c r="I12" s="141" t="s">
        <v>5</v>
      </c>
      <c r="J12" s="327" t="s">
        <v>122</v>
      </c>
      <c r="K12" s="141" t="s">
        <v>124</v>
      </c>
      <c r="L12" s="141" t="s">
        <v>125</v>
      </c>
      <c r="M12" s="141" t="s">
        <v>126</v>
      </c>
      <c r="N12" s="141" t="s">
        <v>391</v>
      </c>
      <c r="O12" s="141" t="s">
        <v>130</v>
      </c>
      <c r="P12" s="141" t="s">
        <v>131</v>
      </c>
      <c r="Q12" s="141" t="s">
        <v>154</v>
      </c>
      <c r="R12" s="141" t="s">
        <v>49</v>
      </c>
      <c r="S12" s="141" t="s">
        <v>50</v>
      </c>
      <c r="T12" s="141" t="s">
        <v>56</v>
      </c>
      <c r="V12"/>
      <c r="W12"/>
      <c r="X12"/>
      <c r="Y12"/>
      <c r="Z12"/>
      <c r="AA12"/>
      <c r="AB12"/>
      <c r="AC12"/>
      <c r="AD12"/>
      <c r="AE12" s="107"/>
    </row>
    <row r="13" spans="1:31" x14ac:dyDescent="0.3">
      <c r="B13" s="23">
        <v>1</v>
      </c>
      <c r="C13" s="24"/>
      <c r="D13" s="24"/>
      <c r="E13" s="24"/>
      <c r="F13" s="24"/>
      <c r="G13" s="24"/>
      <c r="H13" s="24"/>
      <c r="I13" s="24"/>
      <c r="J13" s="24"/>
      <c r="K13" s="24"/>
      <c r="L13" s="24"/>
      <c r="M13" s="24"/>
      <c r="N13" s="24"/>
      <c r="O13" s="24"/>
      <c r="P13" s="24"/>
      <c r="Q13" s="24"/>
      <c r="R13" s="24"/>
      <c r="S13" s="24"/>
      <c r="T13" s="24"/>
    </row>
    <row r="14" spans="1:31" x14ac:dyDescent="0.3">
      <c r="B14" s="23">
        <v>2</v>
      </c>
      <c r="C14" s="24"/>
      <c r="D14" s="24"/>
      <c r="E14" s="24"/>
      <c r="F14" s="24"/>
      <c r="G14" s="24"/>
      <c r="H14" s="24"/>
      <c r="I14" s="24"/>
      <c r="J14" s="24"/>
      <c r="K14" s="24"/>
      <c r="L14" s="24"/>
      <c r="M14" s="24"/>
      <c r="N14" s="24"/>
      <c r="O14" s="24"/>
      <c r="P14" s="24"/>
      <c r="Q14" s="24"/>
      <c r="R14" s="24"/>
      <c r="S14" s="24"/>
      <c r="T14" s="24"/>
    </row>
    <row r="15" spans="1:31" x14ac:dyDescent="0.3">
      <c r="B15" s="23">
        <v>3</v>
      </c>
      <c r="C15" s="24"/>
      <c r="D15" s="24"/>
      <c r="E15" s="24"/>
      <c r="F15" s="24"/>
      <c r="G15" s="24"/>
      <c r="H15" s="24"/>
      <c r="I15" s="24"/>
      <c r="J15" s="24"/>
      <c r="K15" s="24"/>
      <c r="L15" s="24"/>
      <c r="M15" s="24"/>
      <c r="N15" s="24"/>
      <c r="O15" s="24"/>
      <c r="P15" s="24"/>
      <c r="Q15" s="24"/>
      <c r="R15" s="24"/>
      <c r="S15" s="24"/>
      <c r="T15" s="24"/>
    </row>
    <row r="16" spans="1:31" x14ac:dyDescent="0.3">
      <c r="B16" s="23">
        <v>4</v>
      </c>
      <c r="C16" s="24"/>
      <c r="D16" s="24"/>
      <c r="E16" s="24"/>
      <c r="F16" s="24"/>
      <c r="G16" s="24"/>
      <c r="H16" s="24"/>
      <c r="I16" s="24"/>
      <c r="J16" s="24"/>
      <c r="K16" s="24"/>
      <c r="L16" s="24"/>
      <c r="M16" s="24"/>
      <c r="N16" s="24"/>
      <c r="O16" s="24"/>
      <c r="P16" s="24"/>
      <c r="Q16" s="24"/>
      <c r="R16" s="24"/>
      <c r="S16" s="24"/>
      <c r="T16" s="24"/>
    </row>
    <row r="17" spans="2:20" x14ac:dyDescent="0.3">
      <c r="B17" s="23">
        <v>5</v>
      </c>
      <c r="C17" s="24"/>
      <c r="D17" s="24"/>
      <c r="E17" s="24"/>
      <c r="F17" s="24"/>
      <c r="G17" s="24"/>
      <c r="H17" s="24"/>
      <c r="I17" s="24"/>
      <c r="J17" s="24"/>
      <c r="K17" s="24"/>
      <c r="L17" s="24"/>
      <c r="M17" s="24"/>
      <c r="N17" s="24"/>
      <c r="O17" s="24"/>
      <c r="P17" s="24"/>
      <c r="Q17" s="24"/>
      <c r="R17" s="24"/>
      <c r="S17" s="24"/>
      <c r="T17" s="24"/>
    </row>
    <row r="18" spans="2:20" x14ac:dyDescent="0.3">
      <c r="B18" s="23">
        <v>6</v>
      </c>
      <c r="C18" s="24"/>
      <c r="D18" s="24"/>
      <c r="E18" s="24"/>
      <c r="F18" s="24"/>
      <c r="G18" s="24"/>
      <c r="H18" s="24"/>
      <c r="I18" s="24"/>
      <c r="J18" s="24"/>
      <c r="K18" s="24"/>
      <c r="L18" s="24"/>
      <c r="M18" s="24"/>
      <c r="N18" s="24"/>
      <c r="O18" s="24"/>
      <c r="P18" s="24"/>
      <c r="Q18" s="24"/>
      <c r="R18" s="24"/>
      <c r="S18" s="24"/>
      <c r="T18" s="24"/>
    </row>
    <row r="19" spans="2:20" x14ac:dyDescent="0.3">
      <c r="B19" s="23">
        <v>7</v>
      </c>
      <c r="C19" s="24"/>
      <c r="D19" s="24"/>
      <c r="E19" s="24"/>
      <c r="F19" s="24"/>
      <c r="G19" s="24"/>
      <c r="H19" s="24"/>
      <c r="I19" s="24"/>
      <c r="J19" s="24"/>
      <c r="K19" s="24"/>
      <c r="L19" s="24"/>
      <c r="M19" s="24"/>
      <c r="N19" s="24"/>
      <c r="O19" s="24"/>
      <c r="P19" s="24"/>
      <c r="Q19" s="24"/>
      <c r="R19" s="24"/>
      <c r="S19" s="24"/>
      <c r="T19" s="24"/>
    </row>
    <row r="20" spans="2:20" x14ac:dyDescent="0.3">
      <c r="B20" s="23">
        <v>8</v>
      </c>
      <c r="C20" s="24"/>
      <c r="D20" s="24"/>
      <c r="E20" s="24"/>
      <c r="F20" s="24"/>
      <c r="G20" s="24"/>
      <c r="H20" s="24"/>
      <c r="I20" s="24"/>
      <c r="J20" s="24"/>
      <c r="K20" s="24"/>
      <c r="L20" s="24"/>
      <c r="M20" s="24"/>
      <c r="N20" s="24"/>
      <c r="O20" s="24"/>
      <c r="P20" s="24"/>
      <c r="Q20" s="24"/>
      <c r="R20" s="24"/>
      <c r="S20" s="24"/>
      <c r="T20" s="24"/>
    </row>
    <row r="21" spans="2:20" x14ac:dyDescent="0.3">
      <c r="B21" s="23">
        <v>9</v>
      </c>
      <c r="C21" s="24"/>
      <c r="D21" s="24"/>
      <c r="E21" s="24"/>
      <c r="F21" s="24"/>
      <c r="G21" s="24"/>
      <c r="H21" s="24"/>
      <c r="I21" s="24"/>
      <c r="J21" s="24"/>
      <c r="K21" s="24"/>
      <c r="L21" s="24"/>
      <c r="M21" s="24"/>
      <c r="N21" s="24"/>
      <c r="O21" s="24"/>
      <c r="P21" s="24"/>
      <c r="Q21" s="24"/>
      <c r="R21" s="24"/>
      <c r="S21" s="24"/>
      <c r="T21" s="24"/>
    </row>
    <row r="22" spans="2:20" x14ac:dyDescent="0.3">
      <c r="B22" s="23">
        <v>10</v>
      </c>
      <c r="C22" s="24"/>
      <c r="D22" s="24"/>
      <c r="E22" s="24"/>
      <c r="F22" s="24"/>
      <c r="G22" s="24"/>
      <c r="H22" s="24"/>
      <c r="I22" s="24"/>
      <c r="J22" s="24"/>
      <c r="K22" s="24"/>
      <c r="L22" s="24"/>
      <c r="M22" s="24"/>
      <c r="N22" s="24"/>
      <c r="O22" s="24"/>
      <c r="P22" s="24"/>
      <c r="Q22" s="24"/>
      <c r="R22" s="24"/>
      <c r="S22" s="24"/>
      <c r="T22" s="24"/>
    </row>
    <row r="23" spans="2:20" x14ac:dyDescent="0.3">
      <c r="B23" s="23">
        <v>11</v>
      </c>
      <c r="C23" s="24"/>
      <c r="D23" s="24"/>
      <c r="E23" s="24"/>
      <c r="F23" s="24"/>
      <c r="G23" s="24"/>
      <c r="H23" s="24"/>
      <c r="I23" s="24"/>
      <c r="J23" s="24"/>
      <c r="K23" s="24"/>
      <c r="L23" s="24"/>
      <c r="M23" s="24"/>
      <c r="N23" s="24"/>
      <c r="O23" s="24"/>
      <c r="P23" s="24"/>
      <c r="Q23" s="24"/>
      <c r="R23" s="24"/>
      <c r="S23" s="24"/>
      <c r="T23" s="24"/>
    </row>
    <row r="24" spans="2:20" x14ac:dyDescent="0.3">
      <c r="B24" s="23">
        <v>12</v>
      </c>
      <c r="C24" s="24"/>
      <c r="D24" s="24"/>
      <c r="E24" s="24"/>
      <c r="F24" s="24"/>
      <c r="G24" s="24"/>
      <c r="H24" s="24"/>
      <c r="I24" s="24"/>
      <c r="J24" s="24"/>
      <c r="K24" s="24"/>
      <c r="L24" s="24"/>
      <c r="M24" s="24"/>
      <c r="N24" s="24"/>
      <c r="O24" s="24"/>
      <c r="P24" s="24"/>
      <c r="Q24" s="24"/>
      <c r="R24" s="24"/>
      <c r="S24" s="24"/>
      <c r="T24" s="24"/>
    </row>
    <row r="25" spans="2:20" x14ac:dyDescent="0.3">
      <c r="B25" s="23">
        <v>13</v>
      </c>
      <c r="C25" s="24"/>
      <c r="D25" s="24"/>
      <c r="E25" s="24"/>
      <c r="F25" s="24"/>
      <c r="G25" s="24"/>
      <c r="H25" s="24"/>
      <c r="I25" s="24"/>
      <c r="J25" s="24"/>
      <c r="K25" s="24"/>
      <c r="L25" s="24"/>
      <c r="M25" s="24"/>
      <c r="N25" s="24"/>
      <c r="O25" s="24"/>
      <c r="P25" s="24"/>
      <c r="Q25" s="24"/>
      <c r="R25" s="24"/>
      <c r="S25" s="24"/>
      <c r="T25" s="24"/>
    </row>
    <row r="26" spans="2:20" x14ac:dyDescent="0.3">
      <c r="B26" s="23">
        <v>14</v>
      </c>
      <c r="C26" s="24"/>
      <c r="D26" s="24"/>
      <c r="E26" s="24"/>
      <c r="F26" s="24"/>
      <c r="G26" s="24"/>
      <c r="H26" s="24"/>
      <c r="I26" s="24"/>
      <c r="J26" s="24"/>
      <c r="K26" s="24"/>
      <c r="L26" s="24"/>
      <c r="M26" s="24"/>
      <c r="N26" s="24"/>
      <c r="O26" s="24"/>
      <c r="P26" s="24"/>
      <c r="Q26" s="24"/>
      <c r="R26" s="24"/>
      <c r="S26" s="24"/>
      <c r="T26" s="24"/>
    </row>
    <row r="27" spans="2:20" x14ac:dyDescent="0.3">
      <c r="B27" s="23">
        <v>15</v>
      </c>
      <c r="C27" s="24"/>
      <c r="D27" s="24"/>
      <c r="E27" s="24"/>
      <c r="F27" s="24"/>
      <c r="G27" s="24"/>
      <c r="H27" s="24"/>
      <c r="I27" s="24"/>
      <c r="J27" s="24"/>
      <c r="K27" s="24"/>
      <c r="L27" s="24"/>
      <c r="M27" s="24"/>
      <c r="N27" s="24"/>
      <c r="O27" s="24"/>
      <c r="P27" s="24"/>
      <c r="Q27" s="24"/>
      <c r="R27" s="24"/>
      <c r="S27" s="24"/>
      <c r="T27" s="24"/>
    </row>
    <row r="28" spans="2:20" x14ac:dyDescent="0.3">
      <c r="B28" s="23">
        <v>16</v>
      </c>
      <c r="C28" s="24"/>
      <c r="D28" s="24"/>
      <c r="E28" s="24"/>
      <c r="F28" s="24"/>
      <c r="G28" s="24"/>
      <c r="H28" s="24"/>
      <c r="I28" s="24"/>
      <c r="J28" s="24"/>
      <c r="K28" s="24"/>
      <c r="L28" s="24"/>
      <c r="M28" s="24"/>
      <c r="N28" s="24"/>
      <c r="O28" s="24"/>
      <c r="P28" s="24"/>
      <c r="Q28" s="24"/>
      <c r="R28" s="24"/>
      <c r="S28" s="24"/>
      <c r="T28" s="24"/>
    </row>
    <row r="29" spans="2:20" x14ac:dyDescent="0.3">
      <c r="B29" s="23">
        <v>17</v>
      </c>
      <c r="C29" s="24"/>
      <c r="D29" s="24"/>
      <c r="E29" s="24"/>
      <c r="F29" s="24"/>
      <c r="G29" s="24"/>
      <c r="H29" s="24"/>
      <c r="I29" s="24"/>
      <c r="J29" s="24"/>
      <c r="K29" s="24"/>
      <c r="L29" s="24"/>
      <c r="M29" s="24"/>
      <c r="N29" s="24"/>
      <c r="O29" s="24"/>
      <c r="P29" s="24"/>
      <c r="Q29" s="24"/>
      <c r="R29" s="24"/>
      <c r="S29" s="24"/>
      <c r="T29" s="24"/>
    </row>
    <row r="30" spans="2:20" x14ac:dyDescent="0.3">
      <c r="B30" s="23">
        <v>18</v>
      </c>
      <c r="C30" s="24"/>
      <c r="D30" s="24"/>
      <c r="E30" s="24"/>
      <c r="F30" s="24"/>
      <c r="G30" s="24"/>
      <c r="H30" s="24"/>
      <c r="I30" s="24"/>
      <c r="J30" s="24"/>
      <c r="K30" s="24"/>
      <c r="L30" s="24"/>
      <c r="M30" s="24"/>
      <c r="N30" s="24"/>
      <c r="O30" s="24"/>
      <c r="P30" s="24"/>
      <c r="Q30" s="24"/>
      <c r="R30" s="24"/>
      <c r="S30" s="24"/>
      <c r="T30" s="24"/>
    </row>
    <row r="31" spans="2:20" x14ac:dyDescent="0.3">
      <c r="B31" s="23">
        <v>19</v>
      </c>
      <c r="C31" s="24"/>
      <c r="D31" s="24"/>
      <c r="E31" s="24"/>
      <c r="F31" s="24"/>
      <c r="G31" s="24"/>
      <c r="H31" s="24"/>
      <c r="I31" s="24"/>
      <c r="J31" s="24"/>
      <c r="K31" s="24"/>
      <c r="L31" s="24"/>
      <c r="M31" s="24"/>
      <c r="N31" s="24"/>
      <c r="O31" s="24"/>
      <c r="P31" s="24"/>
      <c r="Q31" s="24"/>
      <c r="R31" s="24"/>
      <c r="S31" s="24"/>
      <c r="T31" s="24"/>
    </row>
    <row r="32" spans="2:20" x14ac:dyDescent="0.3">
      <c r="B32" s="23">
        <v>20</v>
      </c>
      <c r="C32" s="24"/>
      <c r="D32" s="24"/>
      <c r="E32" s="24"/>
      <c r="F32" s="24"/>
      <c r="G32" s="24"/>
      <c r="H32" s="24"/>
      <c r="I32" s="24"/>
      <c r="J32" s="24"/>
      <c r="K32" s="24"/>
      <c r="L32" s="24"/>
      <c r="M32" s="24"/>
      <c r="N32" s="24"/>
      <c r="O32" s="24"/>
      <c r="P32" s="24"/>
      <c r="Q32" s="24"/>
      <c r="R32" s="24"/>
      <c r="S32" s="24"/>
      <c r="T32" s="24"/>
    </row>
    <row r="33" spans="2:20" x14ac:dyDescent="0.3">
      <c r="B33" s="23">
        <v>21</v>
      </c>
      <c r="C33" s="24"/>
      <c r="D33" s="24"/>
      <c r="E33" s="24"/>
      <c r="F33" s="24"/>
      <c r="G33" s="24"/>
      <c r="H33" s="24"/>
      <c r="I33" s="24"/>
      <c r="J33" s="24"/>
      <c r="K33" s="24"/>
      <c r="L33" s="24"/>
      <c r="M33" s="24"/>
      <c r="N33" s="24"/>
      <c r="O33" s="24"/>
      <c r="P33" s="24"/>
      <c r="Q33" s="24"/>
      <c r="R33" s="24"/>
      <c r="S33" s="24"/>
      <c r="T33" s="24"/>
    </row>
    <row r="34" spans="2:20" x14ac:dyDescent="0.3">
      <c r="B34" s="23">
        <v>22</v>
      </c>
      <c r="C34" s="24"/>
      <c r="D34" s="24"/>
      <c r="E34" s="24"/>
      <c r="F34" s="24"/>
      <c r="G34" s="24"/>
      <c r="H34" s="24"/>
      <c r="I34" s="24"/>
      <c r="J34" s="24"/>
      <c r="K34" s="24"/>
      <c r="L34" s="24"/>
      <c r="M34" s="24"/>
      <c r="N34" s="24"/>
      <c r="O34" s="24"/>
      <c r="P34" s="24"/>
      <c r="Q34" s="24"/>
      <c r="R34" s="24"/>
      <c r="S34" s="24"/>
      <c r="T34" s="24"/>
    </row>
    <row r="35" spans="2:20" x14ac:dyDescent="0.3">
      <c r="B35" s="23">
        <v>23</v>
      </c>
      <c r="C35" s="24"/>
      <c r="D35" s="24"/>
      <c r="E35" s="24"/>
      <c r="F35" s="24"/>
      <c r="G35" s="24"/>
      <c r="H35" s="24"/>
      <c r="I35" s="24"/>
      <c r="J35" s="24"/>
      <c r="K35" s="24"/>
      <c r="L35" s="24"/>
      <c r="M35" s="24"/>
      <c r="N35" s="24"/>
      <c r="O35" s="24"/>
      <c r="P35" s="24"/>
      <c r="Q35" s="24"/>
      <c r="R35" s="24"/>
      <c r="S35" s="24"/>
      <c r="T35" s="24"/>
    </row>
    <row r="36" spans="2:20" x14ac:dyDescent="0.3">
      <c r="B36" s="23">
        <v>24</v>
      </c>
      <c r="C36" s="24"/>
      <c r="D36" s="24"/>
      <c r="E36" s="24"/>
      <c r="F36" s="24"/>
      <c r="G36" s="24"/>
      <c r="H36" s="24"/>
      <c r="I36" s="24"/>
      <c r="J36" s="24"/>
      <c r="K36" s="24"/>
      <c r="L36" s="24"/>
      <c r="M36" s="24"/>
      <c r="N36" s="24"/>
      <c r="O36" s="24"/>
      <c r="P36" s="24"/>
      <c r="Q36" s="24"/>
      <c r="R36" s="24"/>
      <c r="S36" s="24"/>
      <c r="T36" s="24"/>
    </row>
    <row r="37" spans="2:20" x14ac:dyDescent="0.3">
      <c r="B37" s="23">
        <v>25</v>
      </c>
      <c r="C37" s="24"/>
      <c r="D37" s="24"/>
      <c r="E37" s="24"/>
      <c r="F37" s="24"/>
      <c r="G37" s="24"/>
      <c r="H37" s="24"/>
      <c r="I37" s="24"/>
      <c r="J37" s="24"/>
      <c r="K37" s="24"/>
      <c r="L37" s="24"/>
      <c r="M37" s="24"/>
      <c r="N37" s="24"/>
      <c r="O37" s="24"/>
      <c r="P37" s="24"/>
      <c r="Q37" s="24"/>
      <c r="R37" s="24"/>
      <c r="S37" s="24"/>
      <c r="T37" s="24"/>
    </row>
    <row r="38" spans="2:20" x14ac:dyDescent="0.3">
      <c r="B38" s="23">
        <v>26</v>
      </c>
      <c r="C38" s="24"/>
      <c r="D38" s="24"/>
      <c r="E38" s="24"/>
      <c r="F38" s="24"/>
      <c r="G38" s="24"/>
      <c r="H38" s="24"/>
      <c r="I38" s="24"/>
      <c r="J38" s="24"/>
      <c r="K38" s="24"/>
      <c r="L38" s="24"/>
      <c r="M38" s="24"/>
      <c r="N38" s="24"/>
      <c r="O38" s="24"/>
      <c r="P38" s="24"/>
      <c r="Q38" s="24"/>
      <c r="R38" s="24"/>
      <c r="S38" s="24"/>
      <c r="T38" s="24"/>
    </row>
    <row r="39" spans="2:20" x14ac:dyDescent="0.3">
      <c r="B39" s="23">
        <v>27</v>
      </c>
      <c r="C39" s="24"/>
      <c r="D39" s="24"/>
      <c r="E39" s="24"/>
      <c r="F39" s="24"/>
      <c r="G39" s="24"/>
      <c r="H39" s="24"/>
      <c r="I39" s="24"/>
      <c r="J39" s="24"/>
      <c r="K39" s="24"/>
      <c r="L39" s="24"/>
      <c r="M39" s="24"/>
      <c r="N39" s="24"/>
      <c r="O39" s="24"/>
      <c r="P39" s="24"/>
      <c r="Q39" s="24"/>
      <c r="R39" s="24"/>
      <c r="S39" s="24"/>
      <c r="T39" s="24"/>
    </row>
    <row r="40" spans="2:20" x14ac:dyDescent="0.3">
      <c r="B40" s="23">
        <v>28</v>
      </c>
      <c r="C40" s="24"/>
      <c r="D40" s="24"/>
      <c r="E40" s="24"/>
      <c r="F40" s="24"/>
      <c r="G40" s="24"/>
      <c r="H40" s="24"/>
      <c r="I40" s="24"/>
      <c r="J40" s="24"/>
      <c r="K40" s="24"/>
      <c r="L40" s="24"/>
      <c r="M40" s="24"/>
      <c r="N40" s="24"/>
      <c r="O40" s="24"/>
      <c r="P40" s="24"/>
      <c r="Q40" s="24"/>
      <c r="R40" s="24"/>
      <c r="S40" s="24"/>
      <c r="T40" s="24"/>
    </row>
    <row r="41" spans="2:20" x14ac:dyDescent="0.3">
      <c r="B41" s="23">
        <v>29</v>
      </c>
      <c r="C41" s="24"/>
      <c r="D41" s="24"/>
      <c r="E41" s="24"/>
      <c r="F41" s="24"/>
      <c r="G41" s="24"/>
      <c r="H41" s="24"/>
      <c r="I41" s="24"/>
      <c r="J41" s="24"/>
      <c r="K41" s="24"/>
      <c r="L41" s="24"/>
      <c r="M41" s="24"/>
      <c r="N41" s="24"/>
      <c r="O41" s="24"/>
      <c r="P41" s="24"/>
      <c r="Q41" s="24"/>
      <c r="R41" s="24"/>
      <c r="S41" s="24"/>
      <c r="T41" s="24"/>
    </row>
    <row r="42" spans="2:20" x14ac:dyDescent="0.3">
      <c r="B42" s="23">
        <v>30</v>
      </c>
      <c r="C42" s="24"/>
      <c r="D42" s="24"/>
      <c r="E42" s="24"/>
      <c r="F42" s="24"/>
      <c r="G42" s="24"/>
      <c r="H42" s="24"/>
      <c r="I42" s="24"/>
      <c r="J42" s="24"/>
      <c r="K42" s="24"/>
      <c r="L42" s="24"/>
      <c r="M42" s="24"/>
      <c r="N42" s="24"/>
      <c r="O42" s="24"/>
      <c r="P42" s="24"/>
      <c r="Q42" s="24"/>
      <c r="R42" s="24"/>
      <c r="S42" s="24"/>
      <c r="T42" s="24"/>
    </row>
    <row r="43" spans="2:20" x14ac:dyDescent="0.3">
      <c r="B43" s="23">
        <v>31</v>
      </c>
      <c r="C43" s="24"/>
      <c r="D43" s="24"/>
      <c r="E43" s="24"/>
      <c r="F43" s="24"/>
      <c r="G43" s="24"/>
      <c r="H43" s="24"/>
      <c r="I43" s="24"/>
      <c r="J43" s="24"/>
      <c r="K43" s="24"/>
      <c r="L43" s="24"/>
      <c r="M43" s="24"/>
      <c r="N43" s="24"/>
      <c r="O43" s="24"/>
      <c r="P43" s="24"/>
      <c r="Q43" s="24"/>
      <c r="R43" s="24"/>
      <c r="S43" s="24"/>
      <c r="T43" s="24"/>
    </row>
    <row r="44" spans="2:20" x14ac:dyDescent="0.3">
      <c r="B44" s="23">
        <v>32</v>
      </c>
      <c r="C44" s="24"/>
      <c r="D44" s="24"/>
      <c r="E44" s="24"/>
      <c r="F44" s="24"/>
      <c r="G44" s="24"/>
      <c r="H44" s="24"/>
      <c r="I44" s="24"/>
      <c r="J44" s="24"/>
      <c r="K44" s="24"/>
      <c r="L44" s="24"/>
      <c r="M44" s="24"/>
      <c r="N44" s="24"/>
      <c r="O44" s="24"/>
      <c r="P44" s="24"/>
      <c r="Q44" s="24"/>
      <c r="R44" s="24"/>
      <c r="S44" s="24"/>
      <c r="T44" s="24"/>
    </row>
    <row r="45" spans="2:20" x14ac:dyDescent="0.3">
      <c r="B45" s="23">
        <v>33</v>
      </c>
      <c r="C45" s="24"/>
      <c r="D45" s="24"/>
      <c r="E45" s="24"/>
      <c r="F45" s="24"/>
      <c r="G45" s="24"/>
      <c r="H45" s="24"/>
      <c r="I45" s="24"/>
      <c r="J45" s="24"/>
      <c r="K45" s="24"/>
      <c r="L45" s="24"/>
      <c r="M45" s="24"/>
      <c r="N45" s="24"/>
      <c r="O45" s="24"/>
      <c r="P45" s="24"/>
      <c r="Q45" s="24"/>
      <c r="R45" s="24"/>
      <c r="S45" s="24"/>
      <c r="T45" s="24"/>
    </row>
    <row r="46" spans="2:20" x14ac:dyDescent="0.3">
      <c r="B46" s="23">
        <v>34</v>
      </c>
      <c r="C46" s="24"/>
      <c r="D46" s="24"/>
      <c r="E46" s="24"/>
      <c r="F46" s="24"/>
      <c r="G46" s="24"/>
      <c r="H46" s="24"/>
      <c r="I46" s="24"/>
      <c r="J46" s="24"/>
      <c r="K46" s="24"/>
      <c r="L46" s="24"/>
      <c r="M46" s="24"/>
      <c r="N46" s="24"/>
      <c r="O46" s="24"/>
      <c r="P46" s="24"/>
      <c r="Q46" s="24"/>
      <c r="R46" s="24"/>
      <c r="S46" s="24"/>
      <c r="T46" s="24"/>
    </row>
    <row r="47" spans="2:20" x14ac:dyDescent="0.3">
      <c r="B47" s="23">
        <v>35</v>
      </c>
      <c r="C47" s="24"/>
      <c r="D47" s="24"/>
      <c r="E47" s="24"/>
      <c r="F47" s="24"/>
      <c r="G47" s="24"/>
      <c r="H47" s="24"/>
      <c r="I47" s="24"/>
      <c r="J47" s="24"/>
      <c r="K47" s="24"/>
      <c r="L47" s="24"/>
      <c r="M47" s="24"/>
      <c r="N47" s="24"/>
      <c r="O47" s="24"/>
      <c r="P47" s="24"/>
      <c r="Q47" s="24"/>
      <c r="R47" s="24"/>
      <c r="S47" s="24"/>
      <c r="T47" s="24"/>
    </row>
    <row r="48" spans="2:20" x14ac:dyDescent="0.3">
      <c r="B48" s="23">
        <v>36</v>
      </c>
      <c r="C48" s="24"/>
      <c r="D48" s="24"/>
      <c r="E48" s="24"/>
      <c r="F48" s="24"/>
      <c r="G48" s="24"/>
      <c r="H48" s="24"/>
      <c r="I48" s="24"/>
      <c r="J48" s="24"/>
      <c r="K48" s="24"/>
      <c r="L48" s="24"/>
      <c r="M48" s="24"/>
      <c r="N48" s="24"/>
      <c r="O48" s="24"/>
      <c r="P48" s="24"/>
      <c r="Q48" s="24"/>
      <c r="R48" s="24"/>
      <c r="S48" s="24"/>
      <c r="T48" s="24"/>
    </row>
    <row r="49" spans="1:20" x14ac:dyDescent="0.3">
      <c r="B49" s="23">
        <v>37</v>
      </c>
      <c r="C49" s="24"/>
      <c r="D49" s="24"/>
      <c r="E49" s="24"/>
      <c r="F49" s="24"/>
      <c r="G49" s="24"/>
      <c r="H49" s="24"/>
      <c r="I49" s="24"/>
      <c r="J49" s="24"/>
      <c r="K49" s="24"/>
      <c r="L49" s="24"/>
      <c r="M49" s="24"/>
      <c r="N49" s="24"/>
      <c r="O49" s="24"/>
      <c r="P49" s="24"/>
      <c r="Q49" s="24"/>
      <c r="R49" s="24"/>
      <c r="S49" s="24"/>
      <c r="T49" s="24"/>
    </row>
    <row r="50" spans="1:20" x14ac:dyDescent="0.3">
      <c r="B50" s="23">
        <v>38</v>
      </c>
      <c r="C50" s="24"/>
      <c r="D50" s="24"/>
      <c r="E50" s="24"/>
      <c r="F50" s="24"/>
      <c r="G50" s="24"/>
      <c r="H50" s="24"/>
      <c r="I50" s="24"/>
      <c r="J50" s="24"/>
      <c r="K50" s="24"/>
      <c r="L50" s="24"/>
      <c r="M50" s="24"/>
      <c r="N50" s="24"/>
      <c r="O50" s="24"/>
      <c r="P50" s="24"/>
      <c r="Q50" s="24"/>
      <c r="R50" s="24"/>
      <c r="S50" s="24"/>
      <c r="T50" s="24"/>
    </row>
    <row r="51" spans="1:20" x14ac:dyDescent="0.3">
      <c r="B51" s="23">
        <v>39</v>
      </c>
      <c r="C51" s="24"/>
      <c r="D51" s="24"/>
      <c r="E51" s="24"/>
      <c r="F51" s="24"/>
      <c r="G51" s="24"/>
      <c r="H51" s="24"/>
      <c r="I51" s="24"/>
      <c r="J51" s="24"/>
      <c r="K51" s="24"/>
      <c r="L51" s="24"/>
      <c r="M51" s="24"/>
      <c r="N51" s="24"/>
      <c r="O51" s="24"/>
      <c r="P51" s="24"/>
      <c r="Q51" s="24"/>
      <c r="R51" s="24"/>
      <c r="S51" s="24"/>
      <c r="T51" s="24"/>
    </row>
    <row r="52" spans="1:20" x14ac:dyDescent="0.3">
      <c r="B52" s="23">
        <v>40</v>
      </c>
      <c r="C52" s="24"/>
      <c r="D52" s="24"/>
      <c r="E52" s="24"/>
      <c r="F52" s="24"/>
      <c r="G52" s="24"/>
      <c r="H52" s="24"/>
      <c r="I52" s="24"/>
      <c r="J52" s="24"/>
      <c r="K52" s="24"/>
      <c r="L52" s="24"/>
      <c r="M52" s="24"/>
      <c r="N52" s="24"/>
      <c r="O52" s="24"/>
      <c r="P52" s="24"/>
      <c r="Q52" s="24"/>
      <c r="R52" s="24"/>
      <c r="S52" s="24"/>
      <c r="T52" s="24"/>
    </row>
    <row r="53" spans="1:20" x14ac:dyDescent="0.3">
      <c r="B53" s="23">
        <v>41</v>
      </c>
      <c r="C53" s="24"/>
      <c r="D53" s="24"/>
      <c r="E53" s="24"/>
      <c r="F53" s="24"/>
      <c r="G53" s="24"/>
      <c r="H53" s="24"/>
      <c r="I53" s="24"/>
      <c r="J53" s="24"/>
      <c r="K53" s="24"/>
      <c r="L53" s="24"/>
      <c r="M53" s="24"/>
      <c r="N53" s="24"/>
      <c r="O53" s="24"/>
      <c r="P53" s="24"/>
      <c r="Q53" s="24"/>
      <c r="R53" s="24"/>
      <c r="S53" s="24"/>
      <c r="T53" s="24"/>
    </row>
    <row r="54" spans="1:20" x14ac:dyDescent="0.3">
      <c r="B54" s="23">
        <v>42</v>
      </c>
      <c r="C54" s="24"/>
      <c r="D54" s="24"/>
      <c r="E54" s="24"/>
      <c r="F54" s="24"/>
      <c r="G54" s="24"/>
      <c r="H54" s="24"/>
      <c r="I54" s="24"/>
      <c r="J54" s="24"/>
      <c r="K54" s="24"/>
      <c r="L54" s="24"/>
      <c r="M54" s="24"/>
      <c r="N54" s="24"/>
      <c r="O54" s="24"/>
      <c r="P54" s="24"/>
      <c r="Q54" s="24"/>
      <c r="R54" s="24"/>
      <c r="S54" s="24"/>
      <c r="T54" s="24"/>
    </row>
    <row r="55" spans="1:20" x14ac:dyDescent="0.3">
      <c r="B55" s="23">
        <v>43</v>
      </c>
      <c r="C55" s="24"/>
      <c r="D55" s="24"/>
      <c r="E55" s="24"/>
      <c r="F55" s="24"/>
      <c r="G55" s="24"/>
      <c r="H55" s="24"/>
      <c r="I55" s="24"/>
      <c r="J55" s="24"/>
      <c r="K55" s="24"/>
      <c r="L55" s="24"/>
      <c r="M55" s="24"/>
      <c r="N55" s="24"/>
      <c r="O55" s="24"/>
      <c r="P55" s="24"/>
      <c r="Q55" s="24"/>
      <c r="R55" s="24"/>
      <c r="S55" s="24"/>
      <c r="T55" s="24"/>
    </row>
    <row r="56" spans="1:20" x14ac:dyDescent="0.3">
      <c r="B56" s="23">
        <v>44</v>
      </c>
      <c r="C56" s="24"/>
      <c r="D56" s="24"/>
      <c r="E56" s="24"/>
      <c r="F56" s="24"/>
      <c r="G56" s="24"/>
      <c r="H56" s="24"/>
      <c r="I56" s="24"/>
      <c r="J56" s="24"/>
      <c r="K56" s="24"/>
      <c r="L56" s="24"/>
      <c r="M56" s="24"/>
      <c r="N56" s="24"/>
      <c r="O56" s="24"/>
      <c r="P56" s="24"/>
      <c r="Q56" s="24"/>
      <c r="R56" s="24"/>
      <c r="S56" s="24"/>
      <c r="T56" s="24"/>
    </row>
    <row r="57" spans="1:20" x14ac:dyDescent="0.3">
      <c r="B57" s="23">
        <v>45</v>
      </c>
      <c r="C57" s="24"/>
      <c r="D57" s="24"/>
      <c r="E57" s="24"/>
      <c r="F57" s="24"/>
      <c r="G57" s="24"/>
      <c r="H57" s="24"/>
      <c r="I57" s="24"/>
      <c r="J57" s="24"/>
      <c r="K57" s="24"/>
      <c r="L57" s="24"/>
      <c r="M57" s="24"/>
      <c r="N57" s="24"/>
      <c r="O57" s="24"/>
      <c r="P57" s="24"/>
      <c r="Q57" s="24"/>
      <c r="R57" s="24"/>
      <c r="S57" s="24"/>
      <c r="T57" s="24"/>
    </row>
    <row r="58" spans="1:20" x14ac:dyDescent="0.3">
      <c r="B58" s="23">
        <v>46</v>
      </c>
      <c r="C58" s="24"/>
      <c r="D58" s="24"/>
      <c r="E58" s="24"/>
      <c r="F58" s="24"/>
      <c r="G58" s="24"/>
      <c r="H58" s="24"/>
      <c r="I58" s="24"/>
      <c r="J58" s="24"/>
      <c r="K58" s="24"/>
      <c r="L58" s="24"/>
      <c r="M58" s="24"/>
      <c r="N58" s="24"/>
      <c r="O58" s="24"/>
      <c r="P58" s="24"/>
      <c r="Q58" s="24"/>
      <c r="R58" s="24"/>
      <c r="S58" s="24"/>
      <c r="T58" s="24"/>
    </row>
    <row r="59" spans="1:20" x14ac:dyDescent="0.3">
      <c r="B59" s="23">
        <v>47</v>
      </c>
      <c r="C59" s="24"/>
      <c r="D59" s="24"/>
      <c r="E59" s="24"/>
      <c r="F59" s="24"/>
      <c r="G59" s="24"/>
      <c r="H59" s="24"/>
      <c r="I59" s="24"/>
      <c r="J59" s="24"/>
      <c r="K59" s="24"/>
      <c r="L59" s="24"/>
      <c r="M59" s="24"/>
      <c r="N59" s="24"/>
      <c r="O59" s="24"/>
      <c r="P59" s="24"/>
      <c r="Q59" s="24"/>
      <c r="R59" s="24"/>
      <c r="S59" s="24"/>
      <c r="T59" s="24"/>
    </row>
    <row r="60" spans="1:20" x14ac:dyDescent="0.3">
      <c r="B60" s="23">
        <v>48</v>
      </c>
      <c r="C60" s="24"/>
      <c r="D60" s="24"/>
      <c r="E60" s="24"/>
      <c r="F60" s="24"/>
      <c r="G60" s="24"/>
      <c r="H60" s="24"/>
      <c r="I60" s="24"/>
      <c r="J60" s="24"/>
      <c r="K60" s="24"/>
      <c r="L60" s="24"/>
      <c r="M60" s="24"/>
      <c r="N60" s="24"/>
      <c r="O60" s="24"/>
      <c r="P60" s="24"/>
      <c r="Q60" s="24"/>
      <c r="R60" s="24"/>
      <c r="S60" s="24"/>
      <c r="T60" s="24"/>
    </row>
    <row r="61" spans="1:20" x14ac:dyDescent="0.3">
      <c r="B61" s="23">
        <v>49</v>
      </c>
      <c r="C61" s="24"/>
      <c r="D61" s="24"/>
      <c r="E61" s="24"/>
      <c r="F61" s="24"/>
      <c r="G61" s="24"/>
      <c r="H61" s="24"/>
      <c r="I61" s="24"/>
      <c r="J61" s="24"/>
      <c r="K61" s="24"/>
      <c r="L61" s="24"/>
      <c r="M61" s="24"/>
      <c r="N61" s="24"/>
      <c r="O61" s="24"/>
      <c r="P61" s="24"/>
      <c r="Q61" s="24"/>
      <c r="R61" s="24"/>
      <c r="S61" s="24"/>
      <c r="T61" s="24"/>
    </row>
    <row r="62" spans="1:20" x14ac:dyDescent="0.3">
      <c r="B62" s="23">
        <v>50</v>
      </c>
      <c r="C62" s="24"/>
      <c r="D62" s="24"/>
      <c r="E62" s="24"/>
      <c r="F62" s="24"/>
      <c r="G62" s="24"/>
      <c r="H62" s="24"/>
      <c r="I62" s="24"/>
      <c r="J62" s="24"/>
      <c r="K62" s="24"/>
      <c r="L62" s="24"/>
      <c r="M62" s="24"/>
      <c r="N62" s="24"/>
      <c r="O62" s="24"/>
      <c r="P62" s="24"/>
      <c r="Q62" s="24"/>
      <c r="R62" s="24"/>
      <c r="S62" s="24"/>
      <c r="T62" s="24"/>
    </row>
    <row r="63" spans="1:20" hidden="1" x14ac:dyDescent="0.3">
      <c r="A63" s="25" t="s">
        <v>84</v>
      </c>
      <c r="B63" s="38"/>
      <c r="C63" s="143">
        <f>SUM(AggLabP1[Total Specimens])</f>
        <v>0</v>
      </c>
      <c r="D63" s="143">
        <f>SUBTOTAL(109,AggLabP1[Sputum])</f>
        <v>0</v>
      </c>
      <c r="E63" s="143">
        <f>SUBTOTAL(109,AggLabP1[Urine])</f>
        <v>0</v>
      </c>
      <c r="F63" s="143">
        <f>SUM(AggLabP1[Age 0-14])</f>
        <v>0</v>
      </c>
      <c r="G63" s="143">
        <f>SUM(AggLabP1[Age 15+])</f>
        <v>0</v>
      </c>
      <c r="H63" s="143">
        <f>SUM(AggLabP1[AFB (-)])</f>
        <v>0</v>
      </c>
      <c r="I63" s="143">
        <f>SUM(AggLabP1[AFB (+)])</f>
        <v>0</v>
      </c>
      <c r="J63" s="143">
        <f>SUM(AggLabP1[MTB Not Detected
(N)])</f>
        <v>0</v>
      </c>
      <c r="K63" s="143">
        <f>SUM(AggLabP1[MTB Detected
(including trace), 
RIF Resistance not Detected
(T)])</f>
        <v>0</v>
      </c>
      <c r="L63" s="143">
        <f>SUM(AggLabP1[MTB Detected (including trace), 
RIF Resistance Detected
(RR)])</f>
        <v>0</v>
      </c>
      <c r="M63" s="143">
        <f>SUM(AggLabP1[MTB Detected (including trace), 
RIF Resistance Indeterminate
(TI)])</f>
        <v>0</v>
      </c>
      <c r="N63" s="143">
        <f>SUM(AggLabP1[Invalid
No Result Error
(I)])</f>
        <v>0</v>
      </c>
      <c r="O63" s="143">
        <f>SUM(AggLabP1[LAM Positive])</f>
        <v>0</v>
      </c>
      <c r="P63" s="143">
        <f>SUM(AggLabP1[LAM Negative])</f>
        <v>0</v>
      </c>
      <c r="Q63" s="143">
        <f>SUM(AggLabP1[LAM Invalid])</f>
        <v>0</v>
      </c>
      <c r="R63" s="143">
        <f>SUM(AggLabP1[Positive])</f>
        <v>0</v>
      </c>
      <c r="S63" s="143">
        <f>SUM(AggLabP1[Negative])</f>
        <v>0</v>
      </c>
      <c r="T63" s="143">
        <f>SUM(AggLabP1[Not Tested])</f>
        <v>0</v>
      </c>
    </row>
    <row r="64" spans="1:20" x14ac:dyDescent="0.3">
      <c r="A64" s="162"/>
      <c r="B64" s="23" t="s">
        <v>84</v>
      </c>
      <c r="C64" s="24">
        <f>AggLabP1[[#Totals],[Total Specimens]]</f>
        <v>0</v>
      </c>
      <c r="D64" s="24">
        <f>AggLabP1[[#Totals],[Sputum]]</f>
        <v>0</v>
      </c>
      <c r="E64" s="24">
        <f>AggLabP1[[#Totals],[Urine]]</f>
        <v>0</v>
      </c>
      <c r="F64" s="24">
        <f>AggLabP1[[#Totals],[Age 0-14]]</f>
        <v>0</v>
      </c>
      <c r="G64" s="24">
        <f>AggLabP1[[#Totals],[Age 15+]]</f>
        <v>0</v>
      </c>
      <c r="H64" s="24">
        <f>AggLabP1[[#Totals],[AFB (-)]]</f>
        <v>0</v>
      </c>
      <c r="I64" s="24">
        <f>AggLabP1[[#Totals],[AFB (+)]]</f>
        <v>0</v>
      </c>
      <c r="J64" s="24">
        <f>AggLabP1[[#Totals],[MTB Not Detected
(N)]]</f>
        <v>0</v>
      </c>
      <c r="K64" s="24">
        <f>AggLabP1[[#Totals],[MTB Detected
(including trace), 
RIF Resistance not Detected
(T)]]</f>
        <v>0</v>
      </c>
      <c r="L64" s="24">
        <f>AggLabP1[[#Totals],[MTB Detected (including trace), 
RIF Resistance Detected
(RR)]]</f>
        <v>0</v>
      </c>
      <c r="M64" s="24">
        <f>AggLabP1[[#Totals],[MTB Detected (including trace), 
RIF Resistance Indeterminate
(TI)]]</f>
        <v>0</v>
      </c>
      <c r="N64" s="24">
        <f>AggLabP1[[#Totals],[Invalid
No Result Error
(I)]]</f>
        <v>0</v>
      </c>
      <c r="O64" s="24">
        <f>AggLabP1[[#Totals],[LAM Positive]]</f>
        <v>0</v>
      </c>
      <c r="P64" s="24">
        <f>AggLabP1[[#Totals],[LAM Negative]]</f>
        <v>0</v>
      </c>
      <c r="Q64" s="24">
        <f>AggLabP1[[#Totals],[LAM Invalid]]</f>
        <v>0</v>
      </c>
      <c r="R64" s="24">
        <f>AggLabP1[[#Totals],[Positive]]</f>
        <v>0</v>
      </c>
      <c r="S64" s="24">
        <f>AggLabP1[[#Totals],[Negative]]</f>
        <v>0</v>
      </c>
      <c r="T64" s="24">
        <f>AggLabP1[[#Totals],[Not Tested]]</f>
        <v>0</v>
      </c>
    </row>
    <row r="65" spans="1:22" x14ac:dyDescent="0.3">
      <c r="A65" s="103"/>
      <c r="B65" s="22"/>
      <c r="C65" s="21"/>
      <c r="D65" s="21"/>
      <c r="E65" s="21"/>
      <c r="F65" s="21"/>
      <c r="G65" s="21"/>
      <c r="H65" s="21"/>
      <c r="I65" s="21"/>
      <c r="J65" s="21"/>
      <c r="K65" s="21"/>
      <c r="L65" s="21"/>
      <c r="M65" s="21"/>
      <c r="N65" s="21"/>
      <c r="O65" s="21"/>
      <c r="P65" s="21"/>
      <c r="Q65" s="21"/>
      <c r="R65" s="21"/>
      <c r="S65" s="21"/>
      <c r="T65" s="21"/>
      <c r="U65" s="21"/>
      <c r="V65" s="21"/>
    </row>
    <row r="66" spans="1:22" x14ac:dyDescent="0.3">
      <c r="B66" s="22"/>
      <c r="C66" s="21"/>
      <c r="D66" s="21"/>
      <c r="E66" s="21"/>
      <c r="F66" s="21"/>
      <c r="G66" s="21"/>
      <c r="H66" s="21"/>
      <c r="I66" s="21"/>
      <c r="J66" s="21"/>
      <c r="K66" s="21"/>
      <c r="L66" s="21"/>
      <c r="M66" s="21"/>
      <c r="N66" s="21"/>
      <c r="O66" s="21"/>
      <c r="P66" s="21"/>
      <c r="Q66" s="21"/>
      <c r="R66" s="21"/>
      <c r="S66" s="21"/>
      <c r="T66" s="21"/>
      <c r="U66" s="21"/>
      <c r="V66" s="21"/>
    </row>
  </sheetData>
  <mergeCells count="13">
    <mergeCell ref="A1:T1"/>
    <mergeCell ref="F11:G11"/>
    <mergeCell ref="B3:R3"/>
    <mergeCell ref="B8:R8"/>
    <mergeCell ref="B7:R7"/>
    <mergeCell ref="B6:R6"/>
    <mergeCell ref="B5:R5"/>
    <mergeCell ref="B4:R4"/>
    <mergeCell ref="H11:I11"/>
    <mergeCell ref="J11:N11"/>
    <mergeCell ref="O11:Q11"/>
    <mergeCell ref="R11:S11"/>
    <mergeCell ref="D11:E11"/>
  </mergeCells>
  <phoneticPr fontId="25" type="noConversion"/>
  <pageMargins left="0.7" right="0.7" top="0.75" bottom="0.75" header="0.3" footer="0.3"/>
  <pageSetup orientation="portrait" r:id="rId1"/>
  <ignoredErrors>
    <ignoredError sqref="D9:R9" numberStoredAsText="1"/>
  </ignoredError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theme="4" tint="-0.499984740745262"/>
  </sheetPr>
  <dimension ref="B1:Z38"/>
  <sheetViews>
    <sheetView showGridLines="0" zoomScale="71" zoomScaleNormal="100" workbookViewId="0">
      <selection activeCell="C11" sqref="C11:N27"/>
    </sheetView>
  </sheetViews>
  <sheetFormatPr defaultColWidth="8.6640625" defaultRowHeight="14.4" x14ac:dyDescent="0.3"/>
  <cols>
    <col min="1" max="1" width="2.44140625" style="11" customWidth="1"/>
    <col min="2" max="2" width="11.5546875" style="11" customWidth="1"/>
    <col min="3" max="15" width="16" style="11" customWidth="1"/>
    <col min="16" max="16" width="13.109375" style="11" customWidth="1"/>
    <col min="17" max="17" width="9.33203125" style="11" customWidth="1"/>
    <col min="18" max="18" width="14.6640625" style="11" customWidth="1"/>
    <col min="19" max="23" width="25.6640625" style="11" customWidth="1"/>
    <col min="24" max="16384" width="8.6640625" style="11"/>
  </cols>
  <sheetData>
    <row r="1" spans="2:26" s="40" customFormat="1" ht="21" x14ac:dyDescent="0.3">
      <c r="B1" s="753" t="s">
        <v>75</v>
      </c>
      <c r="C1" s="753"/>
      <c r="D1" s="753"/>
      <c r="E1" s="753"/>
      <c r="F1" s="753"/>
      <c r="G1" s="753"/>
      <c r="H1" s="753"/>
      <c r="I1" s="753"/>
      <c r="J1" s="753"/>
      <c r="K1" s="753"/>
      <c r="L1" s="753"/>
      <c r="M1" s="753"/>
      <c r="N1" s="753"/>
      <c r="O1" s="753"/>
      <c r="P1" s="753"/>
      <c r="Q1" s="753"/>
      <c r="R1" s="753"/>
      <c r="S1" s="753"/>
      <c r="T1" s="753"/>
      <c r="U1" s="753"/>
      <c r="V1" s="753"/>
      <c r="W1" s="753"/>
    </row>
    <row r="2" spans="2:26" s="27" customFormat="1" ht="21.6" thickBot="1" x14ac:dyDescent="0.35">
      <c r="B2" s="61"/>
      <c r="C2" s="61"/>
      <c r="D2" s="61"/>
      <c r="E2" s="61"/>
      <c r="F2" s="61"/>
      <c r="G2" s="61"/>
      <c r="H2" s="12"/>
      <c r="I2" s="11"/>
      <c r="J2" s="11"/>
      <c r="K2" s="11"/>
      <c r="L2" s="11"/>
      <c r="M2" s="11"/>
      <c r="N2" s="11"/>
      <c r="O2" s="11"/>
      <c r="P2" s="11"/>
      <c r="Q2" s="11"/>
      <c r="R2" s="11"/>
      <c r="S2" s="11"/>
      <c r="T2" s="11"/>
      <c r="U2" s="11"/>
      <c r="V2" s="11"/>
      <c r="W2" s="11"/>
    </row>
    <row r="3" spans="2:26" s="6" customFormat="1" x14ac:dyDescent="0.3">
      <c r="B3" s="802" t="s">
        <v>76</v>
      </c>
      <c r="C3" s="803"/>
      <c r="D3" s="803"/>
      <c r="E3" s="803"/>
      <c r="F3" s="803"/>
      <c r="G3" s="804"/>
      <c r="H3" s="12"/>
      <c r="I3" s="11"/>
      <c r="J3" s="11"/>
      <c r="K3" s="11"/>
      <c r="L3" s="11"/>
      <c r="M3" s="11"/>
      <c r="N3" s="11"/>
      <c r="O3" s="11"/>
      <c r="P3" s="11"/>
      <c r="Q3" s="11"/>
      <c r="R3" s="11"/>
      <c r="S3" s="11"/>
      <c r="T3" s="11"/>
      <c r="U3" s="11"/>
      <c r="V3" s="11"/>
      <c r="W3" s="11"/>
    </row>
    <row r="4" spans="2:26" s="6" customFormat="1" x14ac:dyDescent="0.3">
      <c r="B4" s="805" t="s">
        <v>110</v>
      </c>
      <c r="C4" s="806"/>
      <c r="D4" s="806"/>
      <c r="E4" s="806"/>
      <c r="F4" s="806"/>
      <c r="G4" s="807"/>
      <c r="H4" s="12"/>
      <c r="I4" s="11"/>
      <c r="J4" s="11"/>
      <c r="K4" s="11"/>
      <c r="L4" s="11"/>
      <c r="M4" s="11"/>
      <c r="N4" s="11"/>
      <c r="O4" s="11"/>
      <c r="P4" s="11"/>
      <c r="Q4" s="11"/>
      <c r="R4" s="11"/>
      <c r="S4" s="11"/>
      <c r="T4" s="11"/>
      <c r="U4" s="11"/>
      <c r="V4" s="11"/>
      <c r="W4" s="11"/>
    </row>
    <row r="5" spans="2:26" s="6" customFormat="1" ht="28.8" customHeight="1" x14ac:dyDescent="0.3">
      <c r="B5" s="805" t="s">
        <v>77</v>
      </c>
      <c r="C5" s="806"/>
      <c r="D5" s="806"/>
      <c r="E5" s="806"/>
      <c r="F5" s="806"/>
      <c r="G5" s="807"/>
      <c r="H5" s="12"/>
      <c r="I5" s="11"/>
      <c r="J5" s="11"/>
      <c r="K5" s="11"/>
      <c r="L5" s="11"/>
      <c r="M5" s="11"/>
      <c r="N5" s="11"/>
      <c r="O5" s="11"/>
      <c r="P5" s="11"/>
      <c r="Q5" s="11"/>
      <c r="R5" s="11"/>
      <c r="S5" s="11"/>
      <c r="T5" s="11"/>
      <c r="U5" s="11"/>
      <c r="V5" s="11"/>
      <c r="W5" s="11"/>
    </row>
    <row r="6" spans="2:26" s="6" customFormat="1" ht="28.8" customHeight="1" thickBot="1" x14ac:dyDescent="0.35">
      <c r="B6" s="826" t="s">
        <v>362</v>
      </c>
      <c r="C6" s="827"/>
      <c r="D6" s="827"/>
      <c r="E6" s="827"/>
      <c r="F6" s="827"/>
      <c r="G6" s="828"/>
      <c r="H6" s="12"/>
      <c r="I6" s="11"/>
      <c r="J6" s="11"/>
      <c r="K6" s="11"/>
      <c r="L6" s="11"/>
      <c r="M6" s="11"/>
      <c r="N6" s="11"/>
      <c r="O6" s="11"/>
      <c r="P6" s="11"/>
      <c r="Q6" s="11"/>
      <c r="R6" s="11"/>
      <c r="S6" s="11"/>
      <c r="T6" s="11"/>
      <c r="U6" s="11"/>
      <c r="V6" s="11"/>
      <c r="W6" s="11"/>
      <c r="X6" s="11"/>
      <c r="Y6" s="11"/>
      <c r="Z6" s="11"/>
    </row>
    <row r="7" spans="2:26" ht="15" thickBot="1" x14ac:dyDescent="0.35">
      <c r="B7" s="6"/>
      <c r="C7" s="6"/>
      <c r="D7" s="7"/>
      <c r="E7" s="7"/>
      <c r="F7" s="7"/>
      <c r="H7" s="12"/>
    </row>
    <row r="8" spans="2:26" ht="18.600000000000001" customHeight="1" thickBot="1" x14ac:dyDescent="0.35">
      <c r="B8" s="748" t="s">
        <v>194</v>
      </c>
      <c r="C8" s="832"/>
      <c r="D8" s="832"/>
      <c r="E8" s="832"/>
      <c r="F8" s="832"/>
      <c r="G8" s="832"/>
      <c r="H8" s="832"/>
      <c r="I8" s="832"/>
      <c r="J8" s="832"/>
      <c r="K8" s="832"/>
      <c r="L8" s="832"/>
      <c r="M8" s="832"/>
      <c r="N8" s="832"/>
      <c r="O8"/>
      <c r="P8"/>
      <c r="Q8"/>
      <c r="R8"/>
    </row>
    <row r="9" spans="2:26" x14ac:dyDescent="0.3">
      <c r="B9" s="269"/>
      <c r="C9" s="165"/>
      <c r="D9" s="165"/>
      <c r="E9" s="165"/>
      <c r="F9" s="830" t="s">
        <v>15</v>
      </c>
      <c r="G9" s="830"/>
      <c r="H9" s="830"/>
      <c r="I9" s="165"/>
      <c r="J9" s="831" t="s">
        <v>229</v>
      </c>
      <c r="K9" s="830"/>
      <c r="L9" s="830"/>
      <c r="M9" s="830"/>
      <c r="N9" s="165"/>
      <c r="O9"/>
    </row>
    <row r="10" spans="2:26" s="264" customFormat="1" ht="45" customHeight="1" thickBot="1" x14ac:dyDescent="0.35">
      <c r="B10" s="268" t="s">
        <v>190</v>
      </c>
      <c r="C10" s="251" t="s">
        <v>52</v>
      </c>
      <c r="D10" s="251" t="s">
        <v>13</v>
      </c>
      <c r="E10" s="251" t="s">
        <v>197</v>
      </c>
      <c r="F10" s="252" t="s">
        <v>117</v>
      </c>
      <c r="G10" s="253" t="s">
        <v>192</v>
      </c>
      <c r="H10" s="265" t="s">
        <v>193</v>
      </c>
      <c r="I10" s="251" t="s">
        <v>16</v>
      </c>
      <c r="J10" s="253" t="s">
        <v>227</v>
      </c>
      <c r="K10" s="253" t="s">
        <v>228</v>
      </c>
      <c r="L10" s="254" t="s">
        <v>152</v>
      </c>
      <c r="M10" s="251" t="s">
        <v>155</v>
      </c>
      <c r="N10" s="251" t="s">
        <v>191</v>
      </c>
      <c r="O10"/>
      <c r="P10" s="11"/>
      <c r="Q10" s="11"/>
      <c r="R10" s="11"/>
      <c r="S10" s="11"/>
      <c r="T10" s="11"/>
      <c r="U10" s="11"/>
      <c r="V10" s="11"/>
    </row>
    <row r="11" spans="2:26" x14ac:dyDescent="0.3">
      <c r="B11" s="266" t="s">
        <v>9</v>
      </c>
      <c r="C11" s="336"/>
      <c r="D11" s="336"/>
      <c r="E11" s="336"/>
      <c r="F11" s="337"/>
      <c r="G11" s="256"/>
      <c r="H11" s="256"/>
      <c r="I11" s="256"/>
      <c r="J11" s="256"/>
      <c r="K11" s="256"/>
      <c r="L11" s="256"/>
      <c r="M11" s="256"/>
      <c r="N11" s="338"/>
    </row>
    <row r="12" spans="2:26" x14ac:dyDescent="0.3">
      <c r="B12" s="266" t="s">
        <v>10</v>
      </c>
      <c r="C12" s="336"/>
      <c r="D12" s="339"/>
      <c r="E12" s="339"/>
      <c r="F12" s="340"/>
      <c r="G12" s="256"/>
      <c r="H12" s="256"/>
      <c r="I12" s="256"/>
      <c r="J12" s="259"/>
      <c r="K12" s="259"/>
      <c r="L12" s="259"/>
      <c r="M12" s="256"/>
      <c r="N12" s="341"/>
    </row>
    <row r="13" spans="2:26" x14ac:dyDescent="0.3">
      <c r="B13" s="267" t="s">
        <v>11</v>
      </c>
      <c r="C13" s="336"/>
      <c r="D13" s="339"/>
      <c r="E13" s="339"/>
      <c r="F13" s="340"/>
      <c r="G13" s="256"/>
      <c r="H13" s="256"/>
      <c r="I13" s="256"/>
      <c r="J13" s="259"/>
      <c r="K13" s="259"/>
      <c r="L13" s="259"/>
      <c r="M13" s="256"/>
      <c r="N13" s="341"/>
    </row>
    <row r="14" spans="2:26" x14ac:dyDescent="0.3">
      <c r="B14" s="267" t="s">
        <v>12</v>
      </c>
      <c r="C14" s="336"/>
      <c r="D14" s="339"/>
      <c r="E14" s="339"/>
      <c r="F14" s="340"/>
      <c r="G14" s="256"/>
      <c r="H14" s="256"/>
      <c r="I14" s="256"/>
      <c r="J14" s="259"/>
      <c r="K14" s="259"/>
      <c r="L14" s="259"/>
      <c r="M14" s="256"/>
      <c r="N14" s="341"/>
    </row>
    <row r="15" spans="2:26" x14ac:dyDescent="0.3">
      <c r="B15" s="266" t="s">
        <v>32</v>
      </c>
      <c r="C15" s="336"/>
      <c r="D15" s="339"/>
      <c r="E15" s="339"/>
      <c r="F15" s="340"/>
      <c r="G15" s="256"/>
      <c r="H15" s="256"/>
      <c r="I15" s="256"/>
      <c r="J15" s="259"/>
      <c r="K15" s="259"/>
      <c r="L15" s="259"/>
      <c r="M15" s="256"/>
      <c r="N15" s="341"/>
    </row>
    <row r="16" spans="2:26" x14ac:dyDescent="0.3">
      <c r="B16" s="266" t="s">
        <v>33</v>
      </c>
      <c r="C16" s="336"/>
      <c r="D16" s="339"/>
      <c r="E16" s="339"/>
      <c r="F16" s="340"/>
      <c r="G16" s="256"/>
      <c r="H16" s="256"/>
      <c r="I16" s="256"/>
      <c r="J16" s="259"/>
      <c r="K16" s="259"/>
      <c r="L16" s="259"/>
      <c r="M16" s="256"/>
      <c r="N16" s="341"/>
    </row>
    <row r="17" spans="2:18" x14ac:dyDescent="0.3">
      <c r="B17" s="267" t="s">
        <v>34</v>
      </c>
      <c r="C17" s="336"/>
      <c r="D17" s="339"/>
      <c r="E17" s="339"/>
      <c r="F17" s="340"/>
      <c r="G17" s="256"/>
      <c r="H17" s="256"/>
      <c r="I17" s="256"/>
      <c r="J17" s="259"/>
      <c r="K17" s="259"/>
      <c r="L17" s="259"/>
      <c r="M17" s="256"/>
      <c r="N17" s="341"/>
    </row>
    <row r="18" spans="2:18" x14ac:dyDescent="0.3">
      <c r="B18" s="267" t="s">
        <v>35</v>
      </c>
      <c r="C18" s="336"/>
      <c r="D18" s="339"/>
      <c r="E18" s="339"/>
      <c r="F18" s="340"/>
      <c r="G18" s="256"/>
      <c r="H18" s="256"/>
      <c r="I18" s="256"/>
      <c r="J18" s="259"/>
      <c r="K18" s="259"/>
      <c r="L18" s="259"/>
      <c r="M18" s="256"/>
      <c r="N18" s="341"/>
    </row>
    <row r="19" spans="2:18" x14ac:dyDescent="0.3">
      <c r="B19" s="266" t="s">
        <v>36</v>
      </c>
      <c r="C19" s="336"/>
      <c r="D19" s="339"/>
      <c r="E19" s="339"/>
      <c r="F19" s="340"/>
      <c r="G19" s="256"/>
      <c r="H19" s="256"/>
      <c r="I19" s="256"/>
      <c r="J19" s="259"/>
      <c r="K19" s="259"/>
      <c r="L19" s="259"/>
      <c r="M19" s="256"/>
      <c r="N19" s="341"/>
    </row>
    <row r="20" spans="2:18" x14ac:dyDescent="0.3">
      <c r="B20" s="266" t="s">
        <v>37</v>
      </c>
      <c r="C20" s="336"/>
      <c r="D20" s="339"/>
      <c r="E20" s="339"/>
      <c r="F20" s="340"/>
      <c r="G20" s="256"/>
      <c r="H20" s="256"/>
      <c r="I20" s="256"/>
      <c r="J20" s="259"/>
      <c r="K20" s="259"/>
      <c r="L20" s="259"/>
      <c r="M20" s="256"/>
      <c r="N20" s="341"/>
    </row>
    <row r="21" spans="2:18" x14ac:dyDescent="0.3">
      <c r="B21" s="267" t="s">
        <v>38</v>
      </c>
      <c r="C21" s="336"/>
      <c r="D21" s="339"/>
      <c r="E21" s="339"/>
      <c r="F21" s="340"/>
      <c r="G21" s="256"/>
      <c r="H21" s="256"/>
      <c r="I21" s="256"/>
      <c r="J21" s="259"/>
      <c r="K21" s="259"/>
      <c r="L21" s="259"/>
      <c r="M21" s="256"/>
      <c r="N21" s="341"/>
    </row>
    <row r="22" spans="2:18" x14ac:dyDescent="0.3">
      <c r="B22" s="267" t="s">
        <v>39</v>
      </c>
      <c r="C22" s="336"/>
      <c r="D22" s="339"/>
      <c r="E22" s="339"/>
      <c r="F22" s="340"/>
      <c r="G22" s="256"/>
      <c r="H22" s="256"/>
      <c r="I22" s="256"/>
      <c r="J22" s="259"/>
      <c r="K22" s="259"/>
      <c r="L22" s="259"/>
      <c r="M22" s="256"/>
      <c r="N22" s="341"/>
    </row>
    <row r="23" spans="2:18" x14ac:dyDescent="0.3">
      <c r="B23" s="266" t="s">
        <v>40</v>
      </c>
      <c r="C23" s="336"/>
      <c r="D23" s="339"/>
      <c r="E23" s="339"/>
      <c r="F23" s="340"/>
      <c r="G23" s="256"/>
      <c r="H23" s="256"/>
      <c r="I23" s="256"/>
      <c r="J23" s="259"/>
      <c r="K23" s="259"/>
      <c r="L23" s="259"/>
      <c r="M23" s="256"/>
      <c r="N23" s="341"/>
    </row>
    <row r="24" spans="2:18" x14ac:dyDescent="0.3">
      <c r="B24" s="266" t="s">
        <v>41</v>
      </c>
      <c r="C24" s="336"/>
      <c r="D24" s="339"/>
      <c r="E24" s="339"/>
      <c r="F24" s="340"/>
      <c r="G24" s="256"/>
      <c r="H24" s="256"/>
      <c r="I24" s="256"/>
      <c r="J24" s="259"/>
      <c r="K24" s="259"/>
      <c r="L24" s="259"/>
      <c r="M24" s="256"/>
      <c r="N24" s="341"/>
    </row>
    <row r="25" spans="2:18" x14ac:dyDescent="0.3">
      <c r="B25" s="267" t="s">
        <v>42</v>
      </c>
      <c r="C25" s="336"/>
      <c r="D25" s="339"/>
      <c r="E25" s="339"/>
      <c r="F25" s="340"/>
      <c r="G25" s="256"/>
      <c r="H25" s="256"/>
      <c r="I25" s="256"/>
      <c r="J25" s="259"/>
      <c r="K25" s="259"/>
      <c r="L25" s="259"/>
      <c r="M25" s="256"/>
      <c r="N25" s="341"/>
    </row>
    <row r="26" spans="2:18" x14ac:dyDescent="0.3">
      <c r="B26" s="267" t="s">
        <v>43</v>
      </c>
      <c r="C26" s="336"/>
      <c r="D26" s="339"/>
      <c r="E26" s="339"/>
      <c r="F26" s="340"/>
      <c r="G26" s="256"/>
      <c r="H26" s="256"/>
      <c r="I26" s="256"/>
      <c r="J26" s="259"/>
      <c r="K26" s="259"/>
      <c r="L26" s="259"/>
      <c r="M26" s="256"/>
      <c r="N26" s="341"/>
    </row>
    <row r="27" spans="2:18" x14ac:dyDescent="0.3">
      <c r="B27" s="266" t="s">
        <v>44</v>
      </c>
      <c r="C27" s="336"/>
      <c r="D27" s="339"/>
      <c r="E27" s="339"/>
      <c r="F27" s="340"/>
      <c r="G27" s="256"/>
      <c r="H27" s="256"/>
      <c r="I27" s="256"/>
      <c r="J27" s="259"/>
      <c r="K27" s="259"/>
      <c r="L27" s="259"/>
      <c r="M27" s="256"/>
      <c r="N27" s="341"/>
    </row>
    <row r="28" spans="2:18" x14ac:dyDescent="0.3">
      <c r="B28" s="266" t="s">
        <v>45</v>
      </c>
      <c r="C28" s="336"/>
      <c r="D28" s="339"/>
      <c r="E28" s="339"/>
      <c r="F28" s="340"/>
      <c r="G28" s="256"/>
      <c r="H28" s="256"/>
      <c r="I28" s="256"/>
      <c r="J28" s="259"/>
      <c r="K28" s="259"/>
      <c r="L28" s="259"/>
      <c r="M28" s="256"/>
      <c r="N28" s="341"/>
    </row>
    <row r="29" spans="2:18" x14ac:dyDescent="0.3">
      <c r="B29" s="267" t="s">
        <v>46</v>
      </c>
      <c r="C29" s="336"/>
      <c r="D29" s="339"/>
      <c r="E29" s="339"/>
      <c r="F29" s="340"/>
      <c r="G29" s="256"/>
      <c r="H29" s="256"/>
      <c r="I29" s="256"/>
      <c r="J29" s="259"/>
      <c r="K29" s="259"/>
      <c r="L29" s="259"/>
      <c r="M29" s="256"/>
      <c r="N29" s="341"/>
    </row>
    <row r="30" spans="2:18" x14ac:dyDescent="0.3">
      <c r="B30" s="267" t="s">
        <v>47</v>
      </c>
      <c r="C30" s="336"/>
      <c r="D30" s="339"/>
      <c r="E30" s="339"/>
      <c r="F30" s="340"/>
      <c r="G30" s="256"/>
      <c r="H30" s="256"/>
      <c r="I30" s="256"/>
      <c r="J30" s="259"/>
      <c r="K30" s="259"/>
      <c r="L30" s="259"/>
      <c r="M30" s="256"/>
      <c r="N30" s="341"/>
    </row>
    <row r="31" spans="2:18" ht="15" thickBot="1" x14ac:dyDescent="0.35">
      <c r="B31" s="268" t="s">
        <v>195</v>
      </c>
      <c r="C31" s="342">
        <f>COUNTA(PLLab[Available in Lab Register?])</f>
        <v>0</v>
      </c>
      <c r="D31" s="342">
        <f>COUNTA(PLLab[Sex])</f>
        <v>0</v>
      </c>
      <c r="E31" s="342">
        <f>COUNTA(PLLab[Age
(&lt;15, 15+)])</f>
        <v>0</v>
      </c>
      <c r="F31" s="342">
        <f>COUNTA(PLLab[Date specimen received by lab*])</f>
        <v>0</v>
      </c>
      <c r="G31" s="342">
        <f>COUNTA(PLLab[Type of Specimen])</f>
        <v>0</v>
      </c>
      <c r="H31" s="342">
        <f>COUNTA(PLLab[Type of Test])</f>
        <v>0</v>
      </c>
      <c r="I31" s="342">
        <f>COUNTA(PLLab[AFB Result])</f>
        <v>0</v>
      </c>
      <c r="J31" s="342">
        <f>COUNTA(PLLab[mWRD MTB Result])</f>
        <v>0</v>
      </c>
      <c r="K31" s="342">
        <f>COUNTA(PLLab[mWRD RIF Result])</f>
        <v>0</v>
      </c>
      <c r="L31" s="342">
        <f>COUNTA(PLLab[Error/Invalid/Incomplete Test])</f>
        <v>0</v>
      </c>
      <c r="M31" s="342">
        <f>COUNTA(PLLab[LAM Result])</f>
        <v>0</v>
      </c>
      <c r="N31" s="342">
        <f>COUNTA(PLLab[Date Lab Results Released*])</f>
        <v>0</v>
      </c>
    </row>
    <row r="32" spans="2:18" x14ac:dyDescent="0.3">
      <c r="B32" s="795" t="s">
        <v>120</v>
      </c>
      <c r="C32" s="795"/>
      <c r="D32" s="795"/>
      <c r="E32" s="795"/>
      <c r="F32" s="795"/>
      <c r="G32" s="795"/>
      <c r="H32" s="33"/>
      <c r="I32" s="33"/>
      <c r="J32" s="33"/>
      <c r="K32" s="33"/>
      <c r="L32" s="33"/>
      <c r="M32" s="33"/>
      <c r="N32" s="33"/>
      <c r="O32" s="33"/>
      <c r="P32" s="33"/>
      <c r="Q32" s="33"/>
      <c r="R32" s="33"/>
    </row>
    <row r="33" spans="2:18" x14ac:dyDescent="0.3">
      <c r="B33" s="829"/>
      <c r="C33" s="829"/>
      <c r="D33" s="829"/>
      <c r="E33" s="829"/>
      <c r="F33" s="829"/>
      <c r="G33" s="829"/>
      <c r="H33" s="33"/>
      <c r="I33" s="33"/>
      <c r="J33" s="33"/>
      <c r="K33" s="33"/>
      <c r="L33" s="33"/>
      <c r="M33" s="33"/>
      <c r="N33" s="33"/>
      <c r="O33" s="33"/>
      <c r="P33" s="33"/>
      <c r="Q33" s="33"/>
      <c r="R33" s="33"/>
    </row>
    <row r="34" spans="2:18" hidden="1" x14ac:dyDescent="0.3">
      <c r="B34"/>
      <c r="C34" s="161" cm="1">
        <f t="array" ref="C34">SUM(COUNTIF(PLLab[Available in Lab Register?], {"Yes"}))</f>
        <v>0</v>
      </c>
      <c r="D34" s="161" cm="1">
        <f t="array" ref="D34">SUM(COUNTIF(PLLab[Sex], {"Female","Male"}))</f>
        <v>0</v>
      </c>
      <c r="E34" s="161" cm="1">
        <f t="array" ref="E34">SUM(COUNTIF(PLLab[Age
(&lt;15, 15+)], {"0-14","15+"}))</f>
        <v>0</v>
      </c>
      <c r="F34" s="161">
        <f>COUNTA(PLLab[Date specimen received by lab*])</f>
        <v>0</v>
      </c>
      <c r="G34" s="161" cm="1">
        <f t="array" ref="G34">SUM(COUNTIF(PLLab[Type of Specimen], {"Sputum","Urine","Stool","Other"}))</f>
        <v>0</v>
      </c>
      <c r="H34" s="161" cm="1">
        <f t="array" ref="H34">SUM(COUNTIF(PLLab[Type of Test], {"mWRD MTB/RIF","AFB","LAM","Other"}))</f>
        <v>0</v>
      </c>
      <c r="I34" s="487" cm="1">
        <f t="array" ref="I34">SUM(COUNTIF(PLLab[AFB Result],{"Positive","Negative"}))</f>
        <v>0</v>
      </c>
      <c r="J34" s="487" cm="1">
        <f t="array" ref="J34">SUM(COUNTIF(PLLab[mWRD MTB Result],{"MTB Detected","MTB Not Detected"}))</f>
        <v>0</v>
      </c>
      <c r="K34" s="487" cm="1">
        <f t="array" ref="K34">SUM(COUNTIF(PLLab[mWRD RIF Result],{"RIF Resistance Detected","RIF Resistance Not Detected","RIF Indeterminate"}))</f>
        <v>0</v>
      </c>
      <c r="L34" s="487" cm="1">
        <f t="array" ref="L34">SUM(COUNTIF(PLLab[Error/Invalid/Incomplete Test],{"Yes"}))</f>
        <v>0</v>
      </c>
      <c r="M34" s="487" cm="1">
        <f t="array" ref="M34">SUM(COUNTIF(PLLab[LAM Result],{"LAM Positive","LAM Negative","LAM Invalid"}))</f>
        <v>0</v>
      </c>
      <c r="N34" s="487">
        <f>COUNTA(PLLab[Date Lab Results Released*])</f>
        <v>0</v>
      </c>
      <c r="O34" s="33"/>
      <c r="P34" s="33"/>
      <c r="Q34" s="33"/>
      <c r="R34" s="33"/>
    </row>
    <row r="35" spans="2:18" x14ac:dyDescent="0.3">
      <c r="H35" s="33"/>
      <c r="I35" s="33"/>
      <c r="J35" s="33"/>
      <c r="K35" s="33"/>
      <c r="L35" s="33"/>
      <c r="M35" s="33"/>
      <c r="N35" s="33"/>
      <c r="O35" s="33"/>
      <c r="P35" s="33"/>
      <c r="Q35" s="33"/>
      <c r="R35" s="33"/>
    </row>
    <row r="36" spans="2:18" x14ac:dyDescent="0.3">
      <c r="H36" s="33"/>
      <c r="I36" s="33"/>
      <c r="J36" s="33"/>
      <c r="L36" s="33"/>
      <c r="M36" s="33"/>
      <c r="N36" s="33"/>
      <c r="O36" s="33"/>
      <c r="P36" s="33"/>
      <c r="Q36" s="33"/>
      <c r="R36" s="33"/>
    </row>
    <row r="37" spans="2:18" x14ac:dyDescent="0.3">
      <c r="B37" s="167"/>
      <c r="C37" s="167"/>
      <c r="D37" s="167"/>
      <c r="E37" s="167"/>
      <c r="F37" s="167"/>
      <c r="G37" s="167"/>
      <c r="H37" s="33"/>
      <c r="I37" s="33"/>
      <c r="J37" s="33"/>
      <c r="K37" s="33"/>
      <c r="L37" s="33"/>
      <c r="M37" s="33"/>
      <c r="N37" s="33"/>
      <c r="O37" s="33"/>
      <c r="P37" s="33"/>
      <c r="Q37" s="33"/>
      <c r="R37" s="33"/>
    </row>
    <row r="38" spans="2:18" x14ac:dyDescent="0.3">
      <c r="B38" s="12"/>
      <c r="C38" s="12"/>
      <c r="D38" s="12"/>
      <c r="E38" s="12"/>
      <c r="F38" s="12"/>
      <c r="G38" s="12"/>
    </row>
  </sheetData>
  <sheetProtection selectLockedCells="1"/>
  <mergeCells count="10">
    <mergeCell ref="B32:G32"/>
    <mergeCell ref="B33:G33"/>
    <mergeCell ref="F9:H9"/>
    <mergeCell ref="J9:M9"/>
    <mergeCell ref="B8:N8"/>
    <mergeCell ref="B1:W1"/>
    <mergeCell ref="B3:G3"/>
    <mergeCell ref="B4:G4"/>
    <mergeCell ref="B5:G5"/>
    <mergeCell ref="B6:G6"/>
  </mergeCells>
  <dataValidations count="10">
    <dataValidation type="list" allowBlank="1" showInputMessage="1" showErrorMessage="1" sqref="M11:M30" xr:uid="{00000000-0002-0000-0A00-000000000000}">
      <formula1>"LAM Positive, LAM Negative, LAM Invalid, Blank"</formula1>
    </dataValidation>
    <dataValidation type="list" allowBlank="1" showInputMessage="1" showErrorMessage="1" sqref="I11:I30" xr:uid="{00000000-0002-0000-0A00-000001000000}">
      <formula1>"Positive, Negative, Blank"</formula1>
    </dataValidation>
    <dataValidation type="list" allowBlank="1" showInputMessage="1" showErrorMessage="1" sqref="L11:L30" xr:uid="{00000000-0002-0000-0A00-000002000000}">
      <formula1>"Yes, No, Blank"</formula1>
    </dataValidation>
    <dataValidation type="list" allowBlank="1" showInputMessage="1" showErrorMessage="1" sqref="K11:K30" xr:uid="{00000000-0002-0000-0A00-000003000000}">
      <formula1>"RIF Resistance Not Detected, RIF Resistance Detected, RIF Indeterminate, Blank"</formula1>
    </dataValidation>
    <dataValidation type="list" allowBlank="1" showInputMessage="1" showErrorMessage="1" sqref="J11:J30" xr:uid="{00000000-0002-0000-0A00-000004000000}">
      <formula1>"MTB Detected, MTB Not Detected, Blank"</formula1>
    </dataValidation>
    <dataValidation type="list" allowBlank="1" showInputMessage="1" showErrorMessage="1" sqref="H11:H30" xr:uid="{00000000-0002-0000-0A00-000005000000}">
      <formula1>"AFB, mWRD MTB/RIF, LAM, Other, Unknown, Blank"</formula1>
    </dataValidation>
    <dataValidation type="list" allowBlank="1" showInputMessage="1" showErrorMessage="1" sqref="E11:E30" xr:uid="{00000000-0002-0000-0A00-000006000000}">
      <formula1>"0-14, 15+, Unknown, Blank"</formula1>
    </dataValidation>
    <dataValidation type="list" allowBlank="1" showInputMessage="1" showErrorMessage="1" sqref="D25:D30 D11:D23" xr:uid="{00000000-0002-0000-0A00-000007000000}">
      <formula1>"Male, Female, Unknown, Blank"</formula1>
    </dataValidation>
    <dataValidation type="list" allowBlank="1" showInputMessage="1" showErrorMessage="1" sqref="C11:C30" xr:uid="{00000000-0002-0000-0A00-000008000000}">
      <formula1>"Yes, No"</formula1>
    </dataValidation>
    <dataValidation type="list" allowBlank="1" showInputMessage="1" showErrorMessage="1" sqref="G11:G30" xr:uid="{00000000-0002-0000-0A00-000009000000}">
      <formula1>"Sputum, Urine, Stool, Other, Unknown, Blank"</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date" allowBlank="1" showInputMessage="1" showErrorMessage="1" errorTitle="Check Date" error="This is a retrospective analysis. Dates should be prior to today and in the designated date format. " xr:uid="{00000000-0002-0000-0A00-00000A000000}">
          <x14:formula1>
            <xm:f>36526</xm:f>
          </x14:formula1>
          <x14:formula2>
            <xm:f>'1. ASSESSMENT PROFILE'!$F$18</xm:f>
          </x14:formula2>
          <xm:sqref>F11:F17 N11:N17 F19:F22 F24:F30 N24:N30 N19:N22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499984740745262"/>
  </sheetPr>
  <dimension ref="A1:AQ127"/>
  <sheetViews>
    <sheetView showGridLines="0" zoomScale="50" zoomScaleNormal="50" workbookViewId="0">
      <selection activeCell="C11" sqref="C11:R26"/>
    </sheetView>
  </sheetViews>
  <sheetFormatPr defaultRowHeight="14.4" x14ac:dyDescent="0.3"/>
  <cols>
    <col min="1" max="1" width="6.33203125" customWidth="1"/>
    <col min="2" max="20" width="16.109375" customWidth="1"/>
    <col min="21" max="21" width="13.33203125" customWidth="1"/>
    <col min="22" max="22" width="10.109375" customWidth="1"/>
    <col min="23" max="27" width="16.5546875" customWidth="1"/>
    <col min="28" max="28" width="10.6640625" customWidth="1"/>
    <col min="29" max="29" width="14.6640625" customWidth="1"/>
    <col min="30" max="30" width="13" customWidth="1"/>
    <col min="32" max="32" width="9.44140625" customWidth="1"/>
    <col min="33" max="33" width="10.33203125" customWidth="1"/>
    <col min="34" max="34" width="11.33203125" customWidth="1"/>
    <col min="35" max="35" width="11.88671875" customWidth="1"/>
    <col min="36" max="36" width="9.6640625" customWidth="1"/>
  </cols>
  <sheetData>
    <row r="1" spans="1:35" s="200" customFormat="1" ht="23.4" x14ac:dyDescent="0.3">
      <c r="A1" s="195" t="s">
        <v>62</v>
      </c>
      <c r="B1" s="195"/>
      <c r="C1" s="196"/>
      <c r="D1" s="197"/>
      <c r="E1" s="197"/>
      <c r="F1" s="198"/>
      <c r="G1" s="197"/>
      <c r="H1" s="199"/>
      <c r="I1" s="196"/>
      <c r="J1" s="196"/>
      <c r="K1" s="196"/>
      <c r="L1" s="196"/>
      <c r="M1" s="196"/>
      <c r="N1" s="196"/>
      <c r="O1" s="196"/>
      <c r="P1" s="196"/>
      <c r="Q1" s="196"/>
      <c r="R1" s="196"/>
      <c r="S1" s="196"/>
      <c r="T1" s="196"/>
      <c r="U1" s="196"/>
      <c r="V1" s="196"/>
    </row>
    <row r="2" spans="1:35" s="163" customFormat="1" ht="24" thickBot="1" x14ac:dyDescent="0.35">
      <c r="A2" s="184"/>
      <c r="B2" s="184"/>
      <c r="C2" s="202"/>
      <c r="D2" s="186"/>
      <c r="E2" s="186"/>
      <c r="F2" s="187"/>
      <c r="G2" s="186"/>
      <c r="H2" s="203"/>
      <c r="I2" s="202"/>
      <c r="J2" s="202"/>
      <c r="K2" s="202"/>
      <c r="L2" s="202"/>
      <c r="M2" s="202"/>
      <c r="N2" s="202"/>
      <c r="O2" s="202"/>
      <c r="P2" s="202"/>
      <c r="Q2" s="202"/>
      <c r="R2" s="202"/>
      <c r="S2" s="202"/>
      <c r="T2" s="202"/>
      <c r="U2" s="202"/>
      <c r="V2" s="202"/>
    </row>
    <row r="3" spans="1:35" s="20" customFormat="1" x14ac:dyDescent="0.3">
      <c r="B3" s="385" t="s">
        <v>145</v>
      </c>
      <c r="C3" s="206"/>
      <c r="D3" s="207"/>
      <c r="E3" s="207"/>
      <c r="F3" s="208"/>
      <c r="G3" s="207"/>
      <c r="H3" s="209"/>
      <c r="I3" s="206"/>
      <c r="J3" s="206"/>
      <c r="K3" s="206"/>
      <c r="L3" s="206"/>
      <c r="M3" s="206"/>
      <c r="N3" s="206"/>
      <c r="O3" s="206"/>
      <c r="P3" s="206"/>
      <c r="Q3" s="210"/>
      <c r="R3" s="156"/>
      <c r="S3" s="156"/>
      <c r="T3" s="156"/>
      <c r="U3" s="156"/>
      <c r="V3" s="156"/>
      <c r="W3" s="156"/>
      <c r="X3" s="156"/>
    </row>
    <row r="4" spans="1:35" s="20" customFormat="1" x14ac:dyDescent="0.3">
      <c r="B4" s="386" t="s">
        <v>153</v>
      </c>
      <c r="C4" s="156"/>
      <c r="D4" s="194"/>
      <c r="E4" s="194"/>
      <c r="F4" s="204"/>
      <c r="G4" s="194"/>
      <c r="H4" s="167"/>
      <c r="I4" s="156"/>
      <c r="J4" s="156"/>
      <c r="K4" s="156"/>
      <c r="L4" s="156"/>
      <c r="M4" s="156"/>
      <c r="N4" s="156"/>
      <c r="O4" s="156"/>
      <c r="P4" s="156"/>
      <c r="Q4" s="212"/>
      <c r="R4" s="156"/>
      <c r="S4" s="156"/>
      <c r="T4" s="156"/>
      <c r="U4" s="156"/>
      <c r="V4" s="156"/>
      <c r="W4" s="156"/>
      <c r="X4" s="156"/>
    </row>
    <row r="5" spans="1:35" s="20" customFormat="1" ht="15" thickBot="1" x14ac:dyDescent="0.35">
      <c r="B5" s="213" t="s">
        <v>148</v>
      </c>
      <c r="C5" s="214"/>
      <c r="D5" s="215"/>
      <c r="E5" s="215"/>
      <c r="F5" s="216"/>
      <c r="G5" s="215"/>
      <c r="H5" s="217"/>
      <c r="I5" s="214"/>
      <c r="J5" s="214"/>
      <c r="K5" s="214"/>
      <c r="L5" s="214"/>
      <c r="M5" s="214"/>
      <c r="N5" s="214"/>
      <c r="O5" s="214"/>
      <c r="P5" s="214"/>
      <c r="Q5" s="218"/>
      <c r="R5" s="156"/>
      <c r="S5" s="156"/>
      <c r="T5" s="156"/>
      <c r="U5" s="156"/>
      <c r="V5" s="156"/>
      <c r="W5" s="156"/>
      <c r="X5" s="156"/>
    </row>
    <row r="6" spans="1:35" ht="23.4" x14ac:dyDescent="0.3">
      <c r="A6" s="392"/>
      <c r="B6" s="24"/>
      <c r="C6" s="135"/>
      <c r="D6" s="135"/>
      <c r="E6" s="136"/>
      <c r="F6" s="135"/>
      <c r="G6" s="137"/>
      <c r="H6" s="21"/>
      <c r="I6" s="21"/>
      <c r="AF6" s="112"/>
      <c r="AG6" s="112"/>
    </row>
    <row r="7" spans="1:35" s="1" customFormat="1" ht="14.4" customHeight="1" x14ac:dyDescent="0.3">
      <c r="A7" s="98"/>
      <c r="B7" s="112"/>
      <c r="C7" s="112"/>
      <c r="D7"/>
      <c r="E7"/>
      <c r="F7"/>
      <c r="G7"/>
      <c r="H7"/>
      <c r="I7"/>
      <c r="J7"/>
      <c r="K7"/>
      <c r="L7"/>
      <c r="M7"/>
      <c r="N7"/>
      <c r="O7"/>
      <c r="P7"/>
      <c r="Q7"/>
      <c r="R7"/>
      <c r="S7"/>
      <c r="T7"/>
      <c r="AA7"/>
      <c r="AB7"/>
      <c r="AC7"/>
      <c r="AD7"/>
      <c r="AE7"/>
      <c r="AF7"/>
      <c r="AG7"/>
      <c r="AH7"/>
      <c r="AI7"/>
    </row>
    <row r="8" spans="1:35" s="1" customFormat="1" x14ac:dyDescent="0.3">
      <c r="A8"/>
      <c r="B8" s="834"/>
      <c r="C8" s="835"/>
      <c r="D8" s="833" t="s">
        <v>14</v>
      </c>
      <c r="E8" s="833"/>
      <c r="F8" s="841" t="s">
        <v>138</v>
      </c>
      <c r="G8" s="842"/>
      <c r="H8" s="842"/>
      <c r="I8" s="842"/>
      <c r="J8" s="842"/>
      <c r="K8" s="842"/>
      <c r="L8" s="842"/>
      <c r="M8" s="838" t="s">
        <v>67</v>
      </c>
      <c r="N8" s="839"/>
      <c r="O8" s="839"/>
      <c r="P8" s="839"/>
      <c r="Q8" s="840"/>
      <c r="R8" s="401"/>
      <c r="S8"/>
      <c r="T8"/>
      <c r="V8"/>
      <c r="W8"/>
      <c r="X8"/>
      <c r="Y8"/>
      <c r="Z8"/>
      <c r="AA8"/>
      <c r="AB8"/>
      <c r="AC8"/>
      <c r="AD8"/>
      <c r="AE8"/>
      <c r="AF8"/>
      <c r="AG8"/>
      <c r="AH8"/>
      <c r="AI8"/>
    </row>
    <row r="9" spans="1:35" s="1" customFormat="1" ht="14.55" customHeight="1" x14ac:dyDescent="0.3">
      <c r="A9"/>
      <c r="B9" s="836"/>
      <c r="C9" s="837"/>
      <c r="D9" s="833"/>
      <c r="E9" s="833"/>
      <c r="F9" s="843" t="s">
        <v>137</v>
      </c>
      <c r="G9" s="843"/>
      <c r="H9" s="844" t="s">
        <v>230</v>
      </c>
      <c r="I9" s="845"/>
      <c r="J9" s="845"/>
      <c r="K9" s="845"/>
      <c r="L9" s="845"/>
      <c r="M9" s="846" t="s">
        <v>8</v>
      </c>
      <c r="N9" s="847"/>
      <c r="O9" s="847"/>
      <c r="P9" s="847"/>
      <c r="Q9" s="324" t="s">
        <v>121</v>
      </c>
      <c r="R9" s="396"/>
      <c r="S9"/>
      <c r="T9"/>
      <c r="V9"/>
      <c r="W9"/>
      <c r="X9"/>
      <c r="Y9"/>
      <c r="Z9"/>
      <c r="AA9"/>
      <c r="AB9"/>
      <c r="AC9"/>
      <c r="AD9"/>
      <c r="AE9"/>
      <c r="AF9"/>
      <c r="AG9"/>
      <c r="AH9"/>
      <c r="AI9"/>
    </row>
    <row r="10" spans="1:35" s="18" customFormat="1" ht="120.6" customHeight="1" x14ac:dyDescent="0.3">
      <c r="A10"/>
      <c r="B10" s="327" t="s">
        <v>59</v>
      </c>
      <c r="C10" s="141" t="s">
        <v>63</v>
      </c>
      <c r="D10" s="141" t="s">
        <v>53</v>
      </c>
      <c r="E10" s="141" t="s">
        <v>61</v>
      </c>
      <c r="F10" s="325" t="s">
        <v>393</v>
      </c>
      <c r="G10" s="325" t="s">
        <v>136</v>
      </c>
      <c r="H10" s="141" t="s">
        <v>122</v>
      </c>
      <c r="I10" s="141" t="s">
        <v>124</v>
      </c>
      <c r="J10" s="141" t="s">
        <v>125</v>
      </c>
      <c r="K10" s="141" t="s">
        <v>126</v>
      </c>
      <c r="L10" s="141" t="s">
        <v>391</v>
      </c>
      <c r="M10" s="141" t="s">
        <v>140</v>
      </c>
      <c r="N10" s="141" t="s">
        <v>139</v>
      </c>
      <c r="O10" s="141" t="s">
        <v>141</v>
      </c>
      <c r="P10" s="141" t="s">
        <v>142</v>
      </c>
      <c r="Q10" s="141" t="s">
        <v>143</v>
      </c>
      <c r="R10" s="141" t="s">
        <v>65</v>
      </c>
      <c r="S10"/>
      <c r="T10"/>
      <c r="U10"/>
      <c r="V10"/>
      <c r="W10"/>
      <c r="X10"/>
      <c r="Y10"/>
      <c r="Z10"/>
    </row>
    <row r="11" spans="1:35" x14ac:dyDescent="0.3">
      <c r="B11" s="24">
        <v>1</v>
      </c>
      <c r="C11" s="24"/>
      <c r="D11" s="24"/>
      <c r="E11" s="24"/>
      <c r="F11" s="24"/>
      <c r="G11" s="24"/>
      <c r="H11" s="24"/>
      <c r="I11" s="24"/>
      <c r="J11" s="24"/>
      <c r="K11" s="24"/>
      <c r="L11" s="24"/>
      <c r="M11" s="24"/>
      <c r="N11" s="24"/>
      <c r="O11" s="24"/>
      <c r="P11" s="24"/>
      <c r="Q11" s="24"/>
      <c r="R11" s="24"/>
    </row>
    <row r="12" spans="1:35" x14ac:dyDescent="0.3">
      <c r="B12" s="24">
        <v>2</v>
      </c>
      <c r="C12" s="24"/>
      <c r="D12" s="24"/>
      <c r="E12" s="24"/>
      <c r="F12" s="24"/>
      <c r="G12" s="24"/>
      <c r="H12" s="24"/>
      <c r="I12" s="24"/>
      <c r="J12" s="24"/>
      <c r="K12" s="24"/>
      <c r="L12" s="24"/>
      <c r="M12" s="24"/>
      <c r="N12" s="24"/>
      <c r="O12" s="24"/>
      <c r="P12" s="24"/>
      <c r="Q12" s="24"/>
      <c r="R12" s="24"/>
    </row>
    <row r="13" spans="1:35" x14ac:dyDescent="0.3">
      <c r="B13" s="24">
        <v>3</v>
      </c>
      <c r="C13" s="24"/>
      <c r="D13" s="24"/>
      <c r="E13" s="24"/>
      <c r="F13" s="24"/>
      <c r="G13" s="24"/>
      <c r="H13" s="24"/>
      <c r="I13" s="24"/>
      <c r="J13" s="24"/>
      <c r="K13" s="24"/>
      <c r="L13" s="24"/>
      <c r="M13" s="24"/>
      <c r="N13" s="24"/>
      <c r="O13" s="24"/>
      <c r="P13" s="24"/>
      <c r="Q13" s="24"/>
      <c r="R13" s="24"/>
    </row>
    <row r="14" spans="1:35" x14ac:dyDescent="0.3">
      <c r="B14" s="24">
        <v>4</v>
      </c>
      <c r="C14" s="24"/>
      <c r="D14" s="24"/>
      <c r="E14" s="24"/>
      <c r="F14" s="24"/>
      <c r="G14" s="24"/>
      <c r="H14" s="24"/>
      <c r="I14" s="24"/>
      <c r="J14" s="24"/>
      <c r="K14" s="24"/>
      <c r="L14" s="24"/>
      <c r="M14" s="24"/>
      <c r="N14" s="24"/>
      <c r="O14" s="24"/>
      <c r="P14" s="24"/>
      <c r="Q14" s="24"/>
      <c r="R14" s="24"/>
    </row>
    <row r="15" spans="1:35" x14ac:dyDescent="0.3">
      <c r="B15" s="24">
        <v>5</v>
      </c>
      <c r="C15" s="24"/>
      <c r="D15" s="24"/>
      <c r="E15" s="24"/>
      <c r="F15" s="24"/>
      <c r="G15" s="24"/>
      <c r="H15" s="24"/>
      <c r="I15" s="24"/>
      <c r="J15" s="24"/>
      <c r="K15" s="24"/>
      <c r="L15" s="24"/>
      <c r="M15" s="24"/>
      <c r="N15" s="24"/>
      <c r="O15" s="24"/>
      <c r="P15" s="24"/>
      <c r="Q15" s="24"/>
      <c r="R15" s="24"/>
    </row>
    <row r="16" spans="1:35" x14ac:dyDescent="0.3">
      <c r="B16" s="24">
        <v>6</v>
      </c>
      <c r="C16" s="24"/>
      <c r="D16" s="24"/>
      <c r="E16" s="24"/>
      <c r="F16" s="24"/>
      <c r="G16" s="24"/>
      <c r="H16" s="24"/>
      <c r="I16" s="24"/>
      <c r="J16" s="24"/>
      <c r="K16" s="24"/>
      <c r="L16" s="24"/>
      <c r="M16" s="24"/>
      <c r="N16" s="24"/>
      <c r="O16" s="24"/>
      <c r="P16" s="24"/>
      <c r="Q16" s="24"/>
      <c r="R16" s="24"/>
    </row>
    <row r="17" spans="2:18" x14ac:dyDescent="0.3">
      <c r="B17" s="24">
        <v>7</v>
      </c>
      <c r="C17" s="24"/>
      <c r="D17" s="24"/>
      <c r="E17" s="24"/>
      <c r="F17" s="24"/>
      <c r="G17" s="24"/>
      <c r="H17" s="24"/>
      <c r="I17" s="24"/>
      <c r="J17" s="24"/>
      <c r="K17" s="24"/>
      <c r="L17" s="24"/>
      <c r="M17" s="24"/>
      <c r="N17" s="24"/>
      <c r="O17" s="24"/>
      <c r="P17" s="24"/>
      <c r="Q17" s="24"/>
      <c r="R17" s="24"/>
    </row>
    <row r="18" spans="2:18" x14ac:dyDescent="0.3">
      <c r="B18" s="24">
        <v>8</v>
      </c>
      <c r="C18" s="24"/>
      <c r="D18" s="24"/>
      <c r="E18" s="24"/>
      <c r="F18" s="24"/>
      <c r="G18" s="24"/>
      <c r="H18" s="24"/>
      <c r="I18" s="24"/>
      <c r="J18" s="24"/>
      <c r="K18" s="24"/>
      <c r="L18" s="24"/>
      <c r="M18" s="24"/>
      <c r="N18" s="24"/>
      <c r="O18" s="24"/>
      <c r="P18" s="24"/>
      <c r="Q18" s="24"/>
      <c r="R18" s="24"/>
    </row>
    <row r="19" spans="2:18" x14ac:dyDescent="0.3">
      <c r="B19" s="24">
        <v>9</v>
      </c>
      <c r="C19" s="24"/>
      <c r="D19" s="24"/>
      <c r="E19" s="24"/>
      <c r="F19" s="24"/>
      <c r="G19" s="24"/>
      <c r="H19" s="24"/>
      <c r="I19" s="24"/>
      <c r="J19" s="24"/>
      <c r="K19" s="24"/>
      <c r="L19" s="24"/>
      <c r="M19" s="24"/>
      <c r="N19" s="24"/>
      <c r="O19" s="24"/>
      <c r="P19" s="24"/>
      <c r="Q19" s="24"/>
      <c r="R19" s="24"/>
    </row>
    <row r="20" spans="2:18" x14ac:dyDescent="0.3">
      <c r="B20" s="24">
        <v>10</v>
      </c>
      <c r="C20" s="24"/>
      <c r="D20" s="24"/>
      <c r="E20" s="24"/>
      <c r="F20" s="24"/>
      <c r="G20" s="24"/>
      <c r="H20" s="24"/>
      <c r="I20" s="24"/>
      <c r="J20" s="24"/>
      <c r="K20" s="24"/>
      <c r="L20" s="24"/>
      <c r="M20" s="24"/>
      <c r="N20" s="24"/>
      <c r="O20" s="24"/>
      <c r="P20" s="24"/>
      <c r="Q20" s="24"/>
      <c r="R20" s="24"/>
    </row>
    <row r="21" spans="2:18" x14ac:dyDescent="0.3">
      <c r="B21" s="24">
        <v>11</v>
      </c>
      <c r="C21" s="24"/>
      <c r="D21" s="24"/>
      <c r="E21" s="24"/>
      <c r="F21" s="24"/>
      <c r="G21" s="24"/>
      <c r="H21" s="24"/>
      <c r="I21" s="24"/>
      <c r="J21" s="24"/>
      <c r="K21" s="24"/>
      <c r="L21" s="24"/>
      <c r="M21" s="24"/>
      <c r="N21" s="24"/>
      <c r="O21" s="24"/>
      <c r="P21" s="24"/>
      <c r="Q21" s="24"/>
      <c r="R21" s="24"/>
    </row>
    <row r="22" spans="2:18" x14ac:dyDescent="0.3">
      <c r="B22" s="24">
        <v>12</v>
      </c>
      <c r="C22" s="24"/>
      <c r="D22" s="24"/>
      <c r="E22" s="24"/>
      <c r="F22" s="24"/>
      <c r="G22" s="24"/>
      <c r="H22" s="24"/>
      <c r="I22" s="24"/>
      <c r="J22" s="24"/>
      <c r="K22" s="24"/>
      <c r="L22" s="24"/>
      <c r="M22" s="24"/>
      <c r="N22" s="24"/>
      <c r="O22" s="24"/>
      <c r="P22" s="24"/>
      <c r="Q22" s="24"/>
      <c r="R22" s="24"/>
    </row>
    <row r="23" spans="2:18" x14ac:dyDescent="0.3">
      <c r="B23" s="24">
        <v>13</v>
      </c>
      <c r="C23" s="24"/>
      <c r="D23" s="24"/>
      <c r="E23" s="24"/>
      <c r="F23" s="24"/>
      <c r="G23" s="24"/>
      <c r="H23" s="24"/>
      <c r="I23" s="24"/>
      <c r="J23" s="24"/>
      <c r="K23" s="24"/>
      <c r="L23" s="24"/>
      <c r="M23" s="24"/>
      <c r="N23" s="24"/>
      <c r="O23" s="24"/>
      <c r="P23" s="24"/>
      <c r="Q23" s="24"/>
      <c r="R23" s="24"/>
    </row>
    <row r="24" spans="2:18" x14ac:dyDescent="0.3">
      <c r="B24" s="24">
        <v>14</v>
      </c>
      <c r="C24" s="24"/>
      <c r="D24" s="24"/>
      <c r="E24" s="24"/>
      <c r="F24" s="24"/>
      <c r="G24" s="24"/>
      <c r="H24" s="24"/>
      <c r="I24" s="24"/>
      <c r="J24" s="24"/>
      <c r="K24" s="24"/>
      <c r="L24" s="24"/>
      <c r="M24" s="24"/>
      <c r="N24" s="24"/>
      <c r="O24" s="24"/>
      <c r="P24" s="24"/>
      <c r="Q24" s="24"/>
      <c r="R24" s="24"/>
    </row>
    <row r="25" spans="2:18" x14ac:dyDescent="0.3">
      <c r="B25" s="24">
        <v>15</v>
      </c>
      <c r="C25" s="24"/>
      <c r="D25" s="24"/>
      <c r="E25" s="24"/>
      <c r="F25" s="24"/>
      <c r="G25" s="24"/>
      <c r="H25" s="24"/>
      <c r="I25" s="24"/>
      <c r="J25" s="24"/>
      <c r="K25" s="24"/>
      <c r="L25" s="24"/>
      <c r="M25" s="24"/>
      <c r="N25" s="24"/>
      <c r="O25" s="24"/>
      <c r="P25" s="24"/>
      <c r="Q25" s="24"/>
      <c r="R25" s="24"/>
    </row>
    <row r="26" spans="2:18" x14ac:dyDescent="0.3">
      <c r="B26" s="24">
        <v>16</v>
      </c>
      <c r="C26" s="24"/>
      <c r="D26" s="24"/>
      <c r="E26" s="24"/>
      <c r="F26" s="24"/>
      <c r="G26" s="24"/>
      <c r="H26" s="24"/>
      <c r="I26" s="24"/>
      <c r="J26" s="24"/>
      <c r="K26" s="24"/>
      <c r="L26" s="24"/>
      <c r="M26" s="24"/>
      <c r="N26" s="24"/>
      <c r="O26" s="24"/>
      <c r="P26" s="24"/>
      <c r="Q26" s="24"/>
      <c r="R26" s="24"/>
    </row>
    <row r="27" spans="2:18" x14ac:dyDescent="0.3">
      <c r="B27" s="24">
        <v>17</v>
      </c>
      <c r="C27" s="24"/>
      <c r="D27" s="24"/>
      <c r="E27" s="24"/>
      <c r="F27" s="24"/>
      <c r="G27" s="24"/>
      <c r="H27" s="24"/>
      <c r="I27" s="24"/>
      <c r="J27" s="24"/>
      <c r="K27" s="24"/>
      <c r="L27" s="24"/>
      <c r="M27" s="24"/>
      <c r="N27" s="24"/>
      <c r="O27" s="24"/>
      <c r="P27" s="24"/>
      <c r="Q27" s="24"/>
      <c r="R27" s="24"/>
    </row>
    <row r="28" spans="2:18" x14ac:dyDescent="0.3">
      <c r="B28" s="24">
        <v>18</v>
      </c>
      <c r="C28" s="24"/>
      <c r="D28" s="24"/>
      <c r="E28" s="24"/>
      <c r="F28" s="24"/>
      <c r="G28" s="24"/>
      <c r="H28" s="24"/>
      <c r="I28" s="24"/>
      <c r="J28" s="24"/>
      <c r="K28" s="24"/>
      <c r="L28" s="24"/>
      <c r="M28" s="24"/>
      <c r="N28" s="24"/>
      <c r="O28" s="24"/>
      <c r="P28" s="24"/>
      <c r="Q28" s="24"/>
      <c r="R28" s="24"/>
    </row>
    <row r="29" spans="2:18" x14ac:dyDescent="0.3">
      <c r="B29" s="24">
        <v>19</v>
      </c>
      <c r="C29" s="24"/>
      <c r="D29" s="24"/>
      <c r="E29" s="24"/>
      <c r="F29" s="24"/>
      <c r="G29" s="24"/>
      <c r="H29" s="24"/>
      <c r="I29" s="24"/>
      <c r="J29" s="24"/>
      <c r="K29" s="24"/>
      <c r="L29" s="24"/>
      <c r="M29" s="24"/>
      <c r="N29" s="24"/>
      <c r="O29" s="24"/>
      <c r="P29" s="24"/>
      <c r="Q29" s="24"/>
      <c r="R29" s="24"/>
    </row>
    <row r="30" spans="2:18" x14ac:dyDescent="0.3">
      <c r="B30" s="24">
        <v>20</v>
      </c>
      <c r="C30" s="24"/>
      <c r="D30" s="24"/>
      <c r="E30" s="24"/>
      <c r="F30" s="24"/>
      <c r="G30" s="24"/>
      <c r="H30" s="24"/>
      <c r="I30" s="24"/>
      <c r="J30" s="24"/>
      <c r="K30" s="24"/>
      <c r="L30" s="24"/>
      <c r="M30" s="24"/>
      <c r="N30" s="24"/>
      <c r="O30" s="24"/>
      <c r="P30" s="24"/>
      <c r="Q30" s="24"/>
      <c r="R30" s="24"/>
    </row>
    <row r="31" spans="2:18" x14ac:dyDescent="0.3">
      <c r="B31" s="24">
        <v>21</v>
      </c>
      <c r="C31" s="24"/>
      <c r="D31" s="24"/>
      <c r="E31" s="24"/>
      <c r="F31" s="24"/>
      <c r="G31" s="24"/>
      <c r="H31" s="24"/>
      <c r="I31" s="24"/>
      <c r="J31" s="24"/>
      <c r="K31" s="24"/>
      <c r="L31" s="24"/>
      <c r="M31" s="24"/>
      <c r="N31" s="24"/>
      <c r="O31" s="24"/>
      <c r="P31" s="24"/>
      <c r="Q31" s="24"/>
      <c r="R31" s="24"/>
    </row>
    <row r="32" spans="2:18" x14ac:dyDescent="0.3">
      <c r="B32" s="24">
        <v>22</v>
      </c>
      <c r="C32" s="24"/>
      <c r="D32" s="24"/>
      <c r="E32" s="24"/>
      <c r="F32" s="24"/>
      <c r="G32" s="24"/>
      <c r="H32" s="24"/>
      <c r="I32" s="24"/>
      <c r="J32" s="24"/>
      <c r="K32" s="24"/>
      <c r="L32" s="24"/>
      <c r="M32" s="24"/>
      <c r="N32" s="24"/>
      <c r="O32" s="24"/>
      <c r="P32" s="24"/>
      <c r="Q32" s="24"/>
      <c r="R32" s="24"/>
    </row>
    <row r="33" spans="2:18" x14ac:dyDescent="0.3">
      <c r="B33" s="24">
        <v>23</v>
      </c>
      <c r="C33" s="24"/>
      <c r="D33" s="24"/>
      <c r="E33" s="24"/>
      <c r="F33" s="24"/>
      <c r="G33" s="24"/>
      <c r="H33" s="24"/>
      <c r="I33" s="24"/>
      <c r="J33" s="24"/>
      <c r="K33" s="24"/>
      <c r="L33" s="24"/>
      <c r="M33" s="24"/>
      <c r="N33" s="24"/>
      <c r="O33" s="24"/>
      <c r="P33" s="24"/>
      <c r="Q33" s="24"/>
      <c r="R33" s="24"/>
    </row>
    <row r="34" spans="2:18" x14ac:dyDescent="0.3">
      <c r="B34" s="24">
        <v>24</v>
      </c>
      <c r="C34" s="24"/>
      <c r="D34" s="24"/>
      <c r="E34" s="24"/>
      <c r="F34" s="24"/>
      <c r="G34" s="24"/>
      <c r="H34" s="24"/>
      <c r="I34" s="24"/>
      <c r="J34" s="24"/>
      <c r="K34" s="24"/>
      <c r="L34" s="24"/>
      <c r="M34" s="24"/>
      <c r="N34" s="24"/>
      <c r="O34" s="24"/>
      <c r="P34" s="24"/>
      <c r="Q34" s="24"/>
      <c r="R34" s="24"/>
    </row>
    <row r="35" spans="2:18" x14ac:dyDescent="0.3">
      <c r="B35" s="24">
        <v>25</v>
      </c>
      <c r="C35" s="24"/>
      <c r="D35" s="24"/>
      <c r="E35" s="24"/>
      <c r="F35" s="24"/>
      <c r="G35" s="24"/>
      <c r="H35" s="24"/>
      <c r="I35" s="24"/>
      <c r="J35" s="24"/>
      <c r="K35" s="24"/>
      <c r="L35" s="24"/>
      <c r="M35" s="24"/>
      <c r="N35" s="24"/>
      <c r="O35" s="24"/>
      <c r="P35" s="24"/>
      <c r="Q35" s="24"/>
      <c r="R35" s="24"/>
    </row>
    <row r="36" spans="2:18" x14ac:dyDescent="0.3">
      <c r="B36" s="24">
        <v>26</v>
      </c>
      <c r="C36" s="24"/>
      <c r="D36" s="24"/>
      <c r="E36" s="24"/>
      <c r="F36" s="24"/>
      <c r="G36" s="24"/>
      <c r="H36" s="24"/>
      <c r="I36" s="24"/>
      <c r="J36" s="24"/>
      <c r="K36" s="24"/>
      <c r="L36" s="24"/>
      <c r="M36" s="24"/>
      <c r="N36" s="24"/>
      <c r="O36" s="24"/>
      <c r="P36" s="24"/>
      <c r="Q36" s="24"/>
      <c r="R36" s="24"/>
    </row>
    <row r="37" spans="2:18" x14ac:dyDescent="0.3">
      <c r="B37" s="24">
        <v>27</v>
      </c>
      <c r="C37" s="24"/>
      <c r="D37" s="24"/>
      <c r="E37" s="24"/>
      <c r="F37" s="24"/>
      <c r="G37" s="24"/>
      <c r="H37" s="24"/>
      <c r="I37" s="24"/>
      <c r="J37" s="24"/>
      <c r="K37" s="24"/>
      <c r="L37" s="24"/>
      <c r="M37" s="24"/>
      <c r="N37" s="24"/>
      <c r="O37" s="24"/>
      <c r="P37" s="24"/>
      <c r="Q37" s="24"/>
      <c r="R37" s="24"/>
    </row>
    <row r="38" spans="2:18" x14ac:dyDescent="0.3">
      <c r="B38" s="24">
        <v>28</v>
      </c>
      <c r="C38" s="24"/>
      <c r="D38" s="24"/>
      <c r="E38" s="24"/>
      <c r="F38" s="24"/>
      <c r="G38" s="24"/>
      <c r="H38" s="24"/>
      <c r="I38" s="24"/>
      <c r="J38" s="24"/>
      <c r="K38" s="24"/>
      <c r="L38" s="24"/>
      <c r="M38" s="24"/>
      <c r="N38" s="24"/>
      <c r="O38" s="24"/>
      <c r="P38" s="24"/>
      <c r="Q38" s="24"/>
      <c r="R38" s="24"/>
    </row>
    <row r="39" spans="2:18" x14ac:dyDescent="0.3">
      <c r="B39" s="24">
        <v>29</v>
      </c>
      <c r="C39" s="24"/>
      <c r="D39" s="24"/>
      <c r="E39" s="24"/>
      <c r="F39" s="24"/>
      <c r="G39" s="24"/>
      <c r="H39" s="24"/>
      <c r="I39" s="24"/>
      <c r="J39" s="24"/>
      <c r="K39" s="24"/>
      <c r="L39" s="24"/>
      <c r="M39" s="24"/>
      <c r="N39" s="24"/>
      <c r="O39" s="24"/>
      <c r="P39" s="24"/>
      <c r="Q39" s="24"/>
      <c r="R39" s="24"/>
    </row>
    <row r="40" spans="2:18" x14ac:dyDescent="0.3">
      <c r="B40" s="24">
        <v>30</v>
      </c>
      <c r="C40" s="24"/>
      <c r="D40" s="24"/>
      <c r="E40" s="24"/>
      <c r="F40" s="24"/>
      <c r="G40" s="24"/>
      <c r="H40" s="24"/>
      <c r="I40" s="24"/>
      <c r="J40" s="24"/>
      <c r="K40" s="24"/>
      <c r="L40" s="24"/>
      <c r="M40" s="24"/>
      <c r="N40" s="24"/>
      <c r="O40" s="24"/>
      <c r="P40" s="24"/>
      <c r="Q40" s="24"/>
      <c r="R40" s="24"/>
    </row>
    <row r="41" spans="2:18" x14ac:dyDescent="0.3">
      <c r="B41" s="24">
        <v>31</v>
      </c>
      <c r="C41" s="24"/>
      <c r="D41" s="24"/>
      <c r="E41" s="24"/>
      <c r="F41" s="24"/>
      <c r="G41" s="24"/>
      <c r="H41" s="24"/>
      <c r="I41" s="24"/>
      <c r="J41" s="24"/>
      <c r="K41" s="24"/>
      <c r="L41" s="24"/>
      <c r="M41" s="24"/>
      <c r="N41" s="24"/>
      <c r="O41" s="24"/>
      <c r="P41" s="24"/>
      <c r="Q41" s="24"/>
      <c r="R41" s="24"/>
    </row>
    <row r="42" spans="2:18" x14ac:dyDescent="0.3">
      <c r="B42" s="24">
        <v>32</v>
      </c>
      <c r="C42" s="24"/>
      <c r="D42" s="24"/>
      <c r="E42" s="24"/>
      <c r="F42" s="24"/>
      <c r="G42" s="24"/>
      <c r="H42" s="24"/>
      <c r="I42" s="24"/>
      <c r="J42" s="24"/>
      <c r="K42" s="24"/>
      <c r="L42" s="24"/>
      <c r="M42" s="24"/>
      <c r="N42" s="24"/>
      <c r="O42" s="24"/>
      <c r="P42" s="24"/>
      <c r="Q42" s="24"/>
      <c r="R42" s="24"/>
    </row>
    <row r="43" spans="2:18" x14ac:dyDescent="0.3">
      <c r="B43" s="24">
        <v>33</v>
      </c>
      <c r="C43" s="24"/>
      <c r="D43" s="24"/>
      <c r="E43" s="24"/>
      <c r="F43" s="24"/>
      <c r="G43" s="24"/>
      <c r="H43" s="24"/>
      <c r="I43" s="24"/>
      <c r="J43" s="24"/>
      <c r="K43" s="24"/>
      <c r="L43" s="24"/>
      <c r="M43" s="24"/>
      <c r="N43" s="24"/>
      <c r="O43" s="24"/>
      <c r="P43" s="24"/>
      <c r="Q43" s="24"/>
      <c r="R43" s="24"/>
    </row>
    <row r="44" spans="2:18" x14ac:dyDescent="0.3">
      <c r="B44" s="24">
        <v>34</v>
      </c>
      <c r="C44" s="24"/>
      <c r="D44" s="24"/>
      <c r="E44" s="24"/>
      <c r="F44" s="24"/>
      <c r="G44" s="24"/>
      <c r="H44" s="24"/>
      <c r="I44" s="24"/>
      <c r="J44" s="24"/>
      <c r="K44" s="24"/>
      <c r="L44" s="24"/>
      <c r="M44" s="24"/>
      <c r="N44" s="24"/>
      <c r="O44" s="24"/>
      <c r="P44" s="24"/>
      <c r="Q44" s="24"/>
      <c r="R44" s="24"/>
    </row>
    <row r="45" spans="2:18" x14ac:dyDescent="0.3">
      <c r="B45" s="24">
        <v>35</v>
      </c>
      <c r="C45" s="24"/>
      <c r="D45" s="24"/>
      <c r="E45" s="24"/>
      <c r="F45" s="24"/>
      <c r="G45" s="24"/>
      <c r="H45" s="24"/>
      <c r="I45" s="24"/>
      <c r="J45" s="24"/>
      <c r="K45" s="24"/>
      <c r="L45" s="24"/>
      <c r="M45" s="24"/>
      <c r="N45" s="24"/>
      <c r="O45" s="24"/>
      <c r="P45" s="24"/>
      <c r="Q45" s="24"/>
      <c r="R45" s="24"/>
    </row>
    <row r="46" spans="2:18" x14ac:dyDescent="0.3">
      <c r="B46" s="24">
        <v>36</v>
      </c>
      <c r="C46" s="24"/>
      <c r="D46" s="24"/>
      <c r="E46" s="24"/>
      <c r="F46" s="24"/>
      <c r="G46" s="24"/>
      <c r="H46" s="24"/>
      <c r="I46" s="24"/>
      <c r="J46" s="24"/>
      <c r="K46" s="24"/>
      <c r="L46" s="24"/>
      <c r="M46" s="24"/>
      <c r="N46" s="24"/>
      <c r="O46" s="24"/>
      <c r="P46" s="24"/>
      <c r="Q46" s="24"/>
      <c r="R46" s="24"/>
    </row>
    <row r="47" spans="2:18" x14ac:dyDescent="0.3">
      <c r="B47" s="24">
        <v>37</v>
      </c>
      <c r="C47" s="24"/>
      <c r="D47" s="24"/>
      <c r="E47" s="24"/>
      <c r="F47" s="24"/>
      <c r="G47" s="24"/>
      <c r="H47" s="24"/>
      <c r="I47" s="24"/>
      <c r="J47" s="24"/>
      <c r="K47" s="24"/>
      <c r="L47" s="24"/>
      <c r="M47" s="24"/>
      <c r="N47" s="24"/>
      <c r="O47" s="24"/>
      <c r="P47" s="24"/>
      <c r="Q47" s="24"/>
      <c r="R47" s="24"/>
    </row>
    <row r="48" spans="2:18" x14ac:dyDescent="0.3">
      <c r="B48" s="24">
        <v>38</v>
      </c>
      <c r="C48" s="24"/>
      <c r="D48" s="24"/>
      <c r="E48" s="24"/>
      <c r="F48" s="24"/>
      <c r="G48" s="24"/>
      <c r="H48" s="24"/>
      <c r="I48" s="24"/>
      <c r="J48" s="24"/>
      <c r="K48" s="24"/>
      <c r="L48" s="24"/>
      <c r="M48" s="24"/>
      <c r="N48" s="24"/>
      <c r="O48" s="24"/>
      <c r="P48" s="24"/>
      <c r="Q48" s="24"/>
      <c r="R48" s="24"/>
    </row>
    <row r="49" spans="1:43" x14ac:dyDescent="0.3">
      <c r="B49" s="24">
        <v>39</v>
      </c>
      <c r="C49" s="24"/>
      <c r="D49" s="24"/>
      <c r="E49" s="24"/>
      <c r="F49" s="24"/>
      <c r="G49" s="24"/>
      <c r="H49" s="24"/>
      <c r="I49" s="24"/>
      <c r="J49" s="24"/>
      <c r="K49" s="24"/>
      <c r="L49" s="24"/>
      <c r="M49" s="24"/>
      <c r="N49" s="24"/>
      <c r="O49" s="24"/>
      <c r="P49" s="24"/>
      <c r="Q49" s="24"/>
      <c r="R49" s="24"/>
    </row>
    <row r="50" spans="1:43" x14ac:dyDescent="0.3">
      <c r="B50" s="24">
        <v>40</v>
      </c>
      <c r="C50" s="24"/>
      <c r="D50" s="24"/>
      <c r="E50" s="24"/>
      <c r="F50" s="24"/>
      <c r="G50" s="24"/>
      <c r="H50" s="24"/>
      <c r="I50" s="24"/>
      <c r="J50" s="24"/>
      <c r="K50" s="24"/>
      <c r="L50" s="24"/>
      <c r="M50" s="24"/>
      <c r="N50" s="24"/>
      <c r="O50" s="24"/>
      <c r="P50" s="24"/>
      <c r="Q50" s="24"/>
      <c r="R50" s="24"/>
    </row>
    <row r="51" spans="1:43" x14ac:dyDescent="0.3">
      <c r="B51" s="24">
        <v>41</v>
      </c>
      <c r="C51" s="24"/>
      <c r="D51" s="24"/>
      <c r="E51" s="24"/>
      <c r="F51" s="24"/>
      <c r="G51" s="24"/>
      <c r="H51" s="24"/>
      <c r="I51" s="24"/>
      <c r="J51" s="24"/>
      <c r="K51" s="24"/>
      <c r="L51" s="24"/>
      <c r="M51" s="24"/>
      <c r="N51" s="24"/>
      <c r="O51" s="24"/>
      <c r="P51" s="24"/>
      <c r="Q51" s="24"/>
      <c r="R51" s="24"/>
    </row>
    <row r="52" spans="1:43" x14ac:dyDescent="0.3">
      <c r="B52" s="24">
        <v>42</v>
      </c>
      <c r="C52" s="24"/>
      <c r="D52" s="24"/>
      <c r="E52" s="24"/>
      <c r="F52" s="24"/>
      <c r="G52" s="24"/>
      <c r="H52" s="24"/>
      <c r="I52" s="24"/>
      <c r="J52" s="24"/>
      <c r="K52" s="24"/>
      <c r="L52" s="24"/>
      <c r="M52" s="24"/>
      <c r="N52" s="24"/>
      <c r="O52" s="24"/>
      <c r="P52" s="24"/>
      <c r="Q52" s="24"/>
      <c r="R52" s="24"/>
    </row>
    <row r="53" spans="1:43" x14ac:dyDescent="0.3">
      <c r="B53" s="24">
        <v>43</v>
      </c>
      <c r="C53" s="24"/>
      <c r="D53" s="24"/>
      <c r="E53" s="24"/>
      <c r="F53" s="24"/>
      <c r="G53" s="24"/>
      <c r="H53" s="24"/>
      <c r="I53" s="24"/>
      <c r="J53" s="24"/>
      <c r="K53" s="24"/>
      <c r="L53" s="24"/>
      <c r="M53" s="24"/>
      <c r="N53" s="24"/>
      <c r="O53" s="24"/>
      <c r="P53" s="24"/>
      <c r="Q53" s="24"/>
      <c r="R53" s="24"/>
    </row>
    <row r="54" spans="1:43" x14ac:dyDescent="0.3">
      <c r="B54" s="24">
        <v>44</v>
      </c>
      <c r="C54" s="24"/>
      <c r="D54" s="24"/>
      <c r="E54" s="24"/>
      <c r="F54" s="24"/>
      <c r="G54" s="24"/>
      <c r="H54" s="24"/>
      <c r="I54" s="24"/>
      <c r="J54" s="24"/>
      <c r="K54" s="24"/>
      <c r="L54" s="24"/>
      <c r="M54" s="24"/>
      <c r="N54" s="24"/>
      <c r="O54" s="24"/>
      <c r="P54" s="24"/>
      <c r="Q54" s="24"/>
      <c r="R54" s="24"/>
    </row>
    <row r="55" spans="1:43" x14ac:dyDescent="0.3">
      <c r="B55" s="24">
        <v>45</v>
      </c>
      <c r="C55" s="24"/>
      <c r="D55" s="24"/>
      <c r="E55" s="24"/>
      <c r="F55" s="24"/>
      <c r="G55" s="24"/>
      <c r="H55" s="24"/>
      <c r="I55" s="24"/>
      <c r="J55" s="24"/>
      <c r="K55" s="24"/>
      <c r="L55" s="24"/>
      <c r="M55" s="24"/>
      <c r="N55" s="24"/>
      <c r="O55" s="24"/>
      <c r="P55" s="24"/>
      <c r="Q55" s="24"/>
      <c r="R55" s="24"/>
    </row>
    <row r="56" spans="1:43" x14ac:dyDescent="0.3">
      <c r="B56" s="24">
        <v>46</v>
      </c>
      <c r="C56" s="24"/>
      <c r="D56" s="24"/>
      <c r="E56" s="24"/>
      <c r="F56" s="24"/>
      <c r="G56" s="24"/>
      <c r="H56" s="24"/>
      <c r="I56" s="24"/>
      <c r="J56" s="24"/>
      <c r="K56" s="24"/>
      <c r="L56" s="24"/>
      <c r="M56" s="24"/>
      <c r="N56" s="24"/>
      <c r="O56" s="24"/>
      <c r="P56" s="24"/>
      <c r="Q56" s="24"/>
      <c r="R56" s="24"/>
    </row>
    <row r="57" spans="1:43" x14ac:dyDescent="0.3">
      <c r="B57" s="24">
        <v>47</v>
      </c>
      <c r="C57" s="24"/>
      <c r="D57" s="24"/>
      <c r="E57" s="24"/>
      <c r="F57" s="24"/>
      <c r="G57" s="24"/>
      <c r="H57" s="24"/>
      <c r="I57" s="24"/>
      <c r="J57" s="24"/>
      <c r="K57" s="24"/>
      <c r="L57" s="24"/>
      <c r="M57" s="24"/>
      <c r="N57" s="24"/>
      <c r="O57" s="24"/>
      <c r="P57" s="24"/>
      <c r="Q57" s="24"/>
      <c r="R57" s="24"/>
    </row>
    <row r="58" spans="1:43" x14ac:dyDescent="0.3">
      <c r="B58" s="24">
        <v>48</v>
      </c>
      <c r="C58" s="24"/>
      <c r="D58" s="24"/>
      <c r="E58" s="24"/>
      <c r="F58" s="24"/>
      <c r="G58" s="24"/>
      <c r="H58" s="24"/>
      <c r="I58" s="24"/>
      <c r="J58" s="24"/>
      <c r="K58" s="24"/>
      <c r="L58" s="24"/>
      <c r="M58" s="24"/>
      <c r="N58" s="24"/>
      <c r="O58" s="24"/>
      <c r="P58" s="24"/>
      <c r="Q58" s="24"/>
      <c r="R58" s="24"/>
    </row>
    <row r="59" spans="1:43" x14ac:dyDescent="0.3">
      <c r="B59" s="24">
        <v>49</v>
      </c>
      <c r="C59" s="24"/>
      <c r="D59" s="24"/>
      <c r="E59" s="24"/>
      <c r="F59" s="24"/>
      <c r="G59" s="24"/>
      <c r="H59" s="24"/>
      <c r="I59" s="24"/>
      <c r="J59" s="24"/>
      <c r="K59" s="24"/>
      <c r="L59" s="24"/>
      <c r="M59" s="24"/>
      <c r="N59" s="24"/>
      <c r="O59" s="24"/>
      <c r="P59" s="24"/>
      <c r="Q59" s="24"/>
      <c r="R59" s="24"/>
      <c r="S59" s="112"/>
      <c r="Z59" s="112"/>
    </row>
    <row r="60" spans="1:43" x14ac:dyDescent="0.3">
      <c r="B60" s="24">
        <v>50</v>
      </c>
      <c r="C60" s="24"/>
      <c r="D60" s="24"/>
      <c r="E60" s="24"/>
      <c r="F60" s="24"/>
      <c r="G60" s="24"/>
      <c r="H60" s="24"/>
      <c r="I60" s="24"/>
      <c r="J60" s="24"/>
      <c r="K60" s="24"/>
      <c r="L60" s="24"/>
      <c r="M60" s="24"/>
      <c r="N60" s="24"/>
      <c r="O60" s="24"/>
      <c r="P60" s="24"/>
      <c r="Q60" s="24"/>
      <c r="R60" s="24"/>
      <c r="S60" s="112"/>
      <c r="T60" s="112"/>
      <c r="U60" s="112"/>
      <c r="V60" s="112"/>
      <c r="W60" s="112"/>
      <c r="X60" s="112"/>
      <c r="Y60" s="112"/>
      <c r="Z60" s="112"/>
    </row>
    <row r="61" spans="1:43" ht="14.4" hidden="1" customHeight="1" x14ac:dyDescent="0.3">
      <c r="A61" s="391"/>
      <c r="B61" s="145" t="s">
        <v>84</v>
      </c>
      <c r="C61" s="143">
        <f>SUM(AggTreatmentP1[[Total Patients ]])</f>
        <v>0</v>
      </c>
      <c r="D61" s="143">
        <f>SUM(AggTreatmentP1[Age 0-14])</f>
        <v>0</v>
      </c>
      <c r="E61" s="143">
        <f>SUM(AggTreatmentP1[Age 15+])</f>
        <v>0</v>
      </c>
      <c r="F61" s="143">
        <f>SUM(AggTreatmentP1[Smear Positive (+/ ++/ +++)])</f>
        <v>0</v>
      </c>
      <c r="G61" s="143">
        <f>SUM(AggTreatmentP1[Smear Negative (-)])</f>
        <v>0</v>
      </c>
      <c r="H61" s="143">
        <f>SUM(AggTreatmentP1[MTB Not Detected
(N)])</f>
        <v>0</v>
      </c>
      <c r="I61" s="143">
        <f>SUM(AggTreatmentP1[MTB Detected
(including trace), 
RIF Resistance not Detected
(T)])</f>
        <v>0</v>
      </c>
      <c r="J61" s="143">
        <f>SUM(AggTreatmentP1[MTB Detected (including trace), 
RIF Resistance Detected
(RR)])</f>
        <v>0</v>
      </c>
      <c r="K61" s="143">
        <f>SUM(AggTreatmentP1[MTB Detected (including trace), 
RIF Resistance Indeterminate
(TI)])</f>
        <v>0</v>
      </c>
      <c r="L61" s="143">
        <f>SUM(AggTreatmentP1[Invalid
No Result Error
(I)])</f>
        <v>0</v>
      </c>
      <c r="M61" s="143">
        <f>SUM(AggTreatmentP1[Negative (Neg)])</f>
        <v>0</v>
      </c>
      <c r="N61" s="143">
        <f>SUM(AggTreatmentP1[Known HIV Positive (KPos)])</f>
        <v>0</v>
      </c>
      <c r="O61" s="143">
        <f>SUM(AggTreatmentP1[Newly Tested HIV Positive (NPos)])</f>
        <v>0</v>
      </c>
      <c r="P61" s="143">
        <f>SUM(AggTreatmentP1[Unknown (Unk)])</f>
        <v>0</v>
      </c>
      <c r="Q61" s="143">
        <f>SUM(AggTreatmentP1[Enrolled in ART])</f>
        <v>0</v>
      </c>
      <c r="R61" s="143">
        <f>SUM(AggTreatmentP1[Transferred Out])</f>
        <v>0</v>
      </c>
      <c r="S61" s="112"/>
      <c r="T61" s="112"/>
      <c r="U61" s="112"/>
      <c r="V61" s="112"/>
      <c r="W61" s="112"/>
      <c r="X61" s="112"/>
      <c r="Y61" s="112"/>
      <c r="Z61" s="112"/>
    </row>
    <row r="62" spans="1:43" x14ac:dyDescent="0.3">
      <c r="B62" s="154" t="s">
        <v>84</v>
      </c>
      <c r="C62" s="24">
        <f>AggTreatmentP1[[#Totals],[Total Patients ]]</f>
        <v>0</v>
      </c>
      <c r="D62" s="24">
        <f>AggTreatmentP1[[#Totals],[Age 0-14]]</f>
        <v>0</v>
      </c>
      <c r="E62" s="24">
        <f>AggTreatmentP1[[#Totals],[Age 15+]]</f>
        <v>0</v>
      </c>
      <c r="F62" s="24">
        <f>AggTreatmentP1[[#Totals],[Smear Positive (+/ ++/ +++)]]</f>
        <v>0</v>
      </c>
      <c r="G62" s="24">
        <f>AggTreatmentP1[[#Totals],[Smear Negative (-)]]</f>
        <v>0</v>
      </c>
      <c r="H62" s="24">
        <f>AggTreatmentP1[[#Totals],[MTB Not Detected
(N)]]</f>
        <v>0</v>
      </c>
      <c r="I62" s="24">
        <f>AggTreatmentP1[[#Totals],[MTB Detected
(including trace), 
RIF Resistance not Detected
(T)]]</f>
        <v>0</v>
      </c>
      <c r="J62" s="24">
        <f>AggTreatmentP1[[#Totals],[MTB Detected (including trace), 
RIF Resistance Detected
(RR)]]</f>
        <v>0</v>
      </c>
      <c r="K62" s="24">
        <f>AggTreatmentP1[[#Totals],[MTB Detected (including trace), 
RIF Resistance Indeterminate
(TI)]]</f>
        <v>0</v>
      </c>
      <c r="L62" s="24">
        <f>AggTreatmentP1[[#Totals],[Invalid
No Result Error
(I)]]</f>
        <v>0</v>
      </c>
      <c r="M62" s="24">
        <f>AggTreatmentP1[[#Totals],[Negative (Neg)]]</f>
        <v>0</v>
      </c>
      <c r="N62" s="24">
        <f>AggTreatmentP1[[#Totals],[Known HIV Positive (KPos)]]</f>
        <v>0</v>
      </c>
      <c r="O62" s="24">
        <f>AggTreatmentP1[[#Totals],[Newly Tested HIV Positive (NPos)]]</f>
        <v>0</v>
      </c>
      <c r="P62" s="24">
        <f>AggTreatmentP1[[#Totals],[Unknown (Unk)]]</f>
        <v>0</v>
      </c>
      <c r="Q62" s="24">
        <f>AggTreatmentP1[[#Totals],[Enrolled in ART]]</f>
        <v>0</v>
      </c>
      <c r="R62" s="24">
        <f>AggTreatmentP1[[#Totals],[Transferred Out]]</f>
        <v>0</v>
      </c>
      <c r="AK62" s="112"/>
      <c r="AL62" s="112"/>
      <c r="AM62" s="112"/>
      <c r="AN62" s="112"/>
      <c r="AO62" s="112"/>
      <c r="AP62" s="112"/>
      <c r="AQ62" s="112"/>
    </row>
    <row r="65" ht="14.4" customHeight="1" x14ac:dyDescent="0.3"/>
    <row r="67" ht="14.55" customHeight="1" x14ac:dyDescent="0.3"/>
    <row r="68" ht="113.55" customHeight="1" x14ac:dyDescent="0.3"/>
    <row r="94" ht="14.4" hidden="1" customHeight="1" x14ac:dyDescent="0.3"/>
    <row r="98" ht="14.4" customHeight="1" x14ac:dyDescent="0.3"/>
    <row r="100" ht="14.55" customHeight="1" x14ac:dyDescent="0.3"/>
    <row r="101" ht="119.55" customHeight="1" x14ac:dyDescent="0.3"/>
    <row r="127" ht="14.4" hidden="1" customHeight="1" x14ac:dyDescent="0.3"/>
  </sheetData>
  <mergeCells count="7">
    <mergeCell ref="D8:E9"/>
    <mergeCell ref="B8:C9"/>
    <mergeCell ref="M8:Q8"/>
    <mergeCell ref="F8:L8"/>
    <mergeCell ref="F9:G9"/>
    <mergeCell ref="H9:L9"/>
    <mergeCell ref="M9:P9"/>
  </mergeCells>
  <phoneticPr fontId="25" type="noConversion"/>
  <pageMargins left="0.7" right="0.7" top="0.75" bottom="0.75" header="0.3" footer="0.3"/>
  <pageSetup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9" tint="-0.499984740745262"/>
  </sheetPr>
  <dimension ref="A1:V47"/>
  <sheetViews>
    <sheetView showGridLines="0" zoomScale="70" zoomScaleNormal="70" workbookViewId="0">
      <selection activeCell="C8" sqref="C8:I23"/>
    </sheetView>
  </sheetViews>
  <sheetFormatPr defaultRowHeight="14.4" x14ac:dyDescent="0.3"/>
  <cols>
    <col min="1" max="1" width="2.5546875" customWidth="1"/>
    <col min="2" max="2" width="10.5546875" customWidth="1"/>
    <col min="3" max="3" width="12.109375" customWidth="1"/>
    <col min="4" max="4" width="13.44140625" customWidth="1"/>
    <col min="5" max="5" width="12.109375" customWidth="1"/>
    <col min="6" max="6" width="9.109375" bestFit="1" customWidth="1"/>
    <col min="7" max="7" width="10.109375" customWidth="1"/>
    <col min="8" max="8" width="12.6640625" customWidth="1"/>
    <col min="9" max="9" width="12.109375" customWidth="1"/>
    <col min="10" max="10" width="8.77734375" bestFit="1" customWidth="1"/>
    <col min="11" max="11" width="16.88671875" customWidth="1"/>
    <col min="12" max="12" width="25.6640625" bestFit="1" customWidth="1"/>
    <col min="13" max="13" width="10.109375" customWidth="1"/>
    <col min="14" max="14" width="12.33203125" customWidth="1"/>
    <col min="15" max="15" width="11.44140625" customWidth="1"/>
    <col min="16" max="16" width="12.109375" customWidth="1"/>
    <col min="17" max="17" width="11" customWidth="1"/>
    <col min="18" max="18" width="12.109375" customWidth="1"/>
    <col min="19" max="19" width="8.88671875" customWidth="1"/>
    <col min="20" max="20" width="10.109375" customWidth="1"/>
    <col min="21" max="21" width="15.44140625" customWidth="1"/>
  </cols>
  <sheetData>
    <row r="1" spans="1:22" ht="21" x14ac:dyDescent="0.3">
      <c r="A1" s="43"/>
      <c r="B1" s="752" t="s">
        <v>79</v>
      </c>
      <c r="C1" s="752"/>
      <c r="D1" s="752"/>
      <c r="E1" s="752"/>
      <c r="F1" s="752"/>
      <c r="G1" s="752"/>
      <c r="H1" s="43"/>
      <c r="I1" s="43"/>
      <c r="J1" s="43"/>
      <c r="K1" s="43"/>
      <c r="L1" s="43"/>
      <c r="M1" s="43"/>
      <c r="N1" s="43"/>
      <c r="O1" s="43"/>
      <c r="P1" s="43"/>
      <c r="Q1" s="43"/>
      <c r="R1" s="43"/>
      <c r="S1" s="43"/>
      <c r="T1" s="43"/>
      <c r="U1" s="43"/>
      <c r="V1" s="43"/>
    </row>
    <row r="2" spans="1:22" ht="21.6" thickBot="1" x14ac:dyDescent="0.35">
      <c r="A2" s="44"/>
      <c r="B2" s="90"/>
      <c r="C2" s="90"/>
      <c r="D2" s="90"/>
      <c r="E2" s="90"/>
      <c r="F2" s="90"/>
      <c r="G2" s="90"/>
      <c r="H2" s="44"/>
      <c r="I2" s="44"/>
      <c r="J2" s="44"/>
      <c r="K2" s="44"/>
      <c r="L2" s="44"/>
      <c r="M2" s="44"/>
      <c r="N2" s="44"/>
      <c r="O2" s="44"/>
      <c r="P2" s="44"/>
      <c r="Q2" s="44"/>
      <c r="R2" s="44"/>
      <c r="S2" s="44"/>
      <c r="T2" s="44"/>
      <c r="U2" s="44"/>
      <c r="V2" s="44"/>
    </row>
    <row r="3" spans="1:22" ht="15" customHeight="1" x14ac:dyDescent="0.3">
      <c r="A3" s="6"/>
      <c r="B3" s="802" t="s">
        <v>76</v>
      </c>
      <c r="C3" s="803"/>
      <c r="D3" s="803"/>
      <c r="E3" s="803"/>
      <c r="F3" s="803"/>
      <c r="G3" s="803"/>
      <c r="H3" s="804"/>
      <c r="I3" s="6"/>
      <c r="J3" s="7"/>
      <c r="K3" s="6"/>
      <c r="L3" s="6"/>
      <c r="M3" s="6"/>
      <c r="N3" s="6"/>
      <c r="O3" s="6"/>
      <c r="P3" s="6"/>
      <c r="Q3" s="6"/>
      <c r="R3" s="6"/>
      <c r="S3" s="6"/>
      <c r="T3" s="6"/>
      <c r="U3" s="6"/>
      <c r="V3" s="6"/>
    </row>
    <row r="4" spans="1:22" ht="30.75" customHeight="1" thickBot="1" x14ac:dyDescent="0.35">
      <c r="A4" s="6"/>
      <c r="B4" s="826" t="s">
        <v>198</v>
      </c>
      <c r="C4" s="827"/>
      <c r="D4" s="827"/>
      <c r="E4" s="827"/>
      <c r="F4" s="827"/>
      <c r="G4" s="827"/>
      <c r="H4" s="828"/>
      <c r="I4" s="6"/>
      <c r="J4" s="7"/>
      <c r="K4" s="6"/>
      <c r="L4" s="6"/>
      <c r="M4" s="6"/>
      <c r="N4" s="6"/>
      <c r="O4" s="6"/>
      <c r="P4" s="6"/>
      <c r="Q4" s="6"/>
      <c r="R4" s="6"/>
      <c r="S4" s="6"/>
      <c r="T4" s="6"/>
      <c r="U4" s="6"/>
      <c r="V4" s="6"/>
    </row>
    <row r="5" spans="1:22" ht="15" thickBot="1" x14ac:dyDescent="0.35">
      <c r="A5" s="6"/>
      <c r="B5" s="91"/>
      <c r="C5" s="91"/>
      <c r="D5" s="91"/>
      <c r="E5" s="64"/>
      <c r="F5" s="64"/>
      <c r="G5" s="64"/>
      <c r="H5" s="6"/>
      <c r="I5" s="6"/>
      <c r="J5" s="6"/>
      <c r="K5" s="6"/>
      <c r="L5" s="6"/>
      <c r="M5" s="6"/>
      <c r="N5" s="6"/>
      <c r="O5" s="6"/>
      <c r="P5" s="6"/>
      <c r="Q5" s="6"/>
      <c r="R5" s="6"/>
      <c r="S5" s="6"/>
      <c r="T5" s="6"/>
      <c r="U5" s="6"/>
      <c r="V5" s="6"/>
    </row>
    <row r="6" spans="1:22" ht="33" customHeight="1" thickBot="1" x14ac:dyDescent="0.35">
      <c r="A6" s="6"/>
      <c r="B6" s="744" t="s">
        <v>81</v>
      </c>
      <c r="C6" s="848"/>
      <c r="D6" s="848"/>
      <c r="E6" s="848"/>
      <c r="F6" s="848"/>
      <c r="G6" s="848"/>
      <c r="H6" s="848"/>
      <c r="I6" s="745"/>
    </row>
    <row r="7" spans="1:22" s="272" customFormat="1" ht="51.75" customHeight="1" thickBot="1" x14ac:dyDescent="0.35">
      <c r="A7" s="271"/>
      <c r="B7" s="276" t="s">
        <v>185</v>
      </c>
      <c r="C7" s="273" t="s">
        <v>51</v>
      </c>
      <c r="D7" s="274" t="s">
        <v>118</v>
      </c>
      <c r="E7" s="274" t="s">
        <v>13</v>
      </c>
      <c r="F7" s="274" t="s">
        <v>186</v>
      </c>
      <c r="G7" s="274" t="s">
        <v>119</v>
      </c>
      <c r="H7" s="274" t="s">
        <v>227</v>
      </c>
      <c r="I7" s="275" t="s">
        <v>228</v>
      </c>
      <c r="J7"/>
      <c r="K7"/>
      <c r="L7"/>
      <c r="M7"/>
      <c r="N7"/>
      <c r="O7"/>
      <c r="P7"/>
      <c r="Q7"/>
      <c r="R7"/>
    </row>
    <row r="8" spans="1:22" x14ac:dyDescent="0.3">
      <c r="A8" s="6"/>
      <c r="B8" s="343" t="s">
        <v>9</v>
      </c>
      <c r="C8" s="346"/>
      <c r="D8" s="347"/>
      <c r="E8" s="346"/>
      <c r="F8" s="346"/>
      <c r="G8" s="347"/>
      <c r="H8" s="346"/>
      <c r="I8" s="348"/>
    </row>
    <row r="9" spans="1:22" x14ac:dyDescent="0.3">
      <c r="A9" s="102"/>
      <c r="B9" s="277" t="s">
        <v>10</v>
      </c>
      <c r="C9" s="99"/>
      <c r="D9" s="406"/>
      <c r="E9" s="37"/>
      <c r="F9" s="37"/>
      <c r="G9" s="406"/>
      <c r="H9" s="37"/>
      <c r="I9" s="349"/>
    </row>
    <row r="10" spans="1:22" x14ac:dyDescent="0.3">
      <c r="A10" s="6"/>
      <c r="B10" s="278" t="s">
        <v>11</v>
      </c>
      <c r="C10" s="99"/>
      <c r="D10" s="249"/>
      <c r="E10" s="37"/>
      <c r="F10" s="37"/>
      <c r="G10" s="249"/>
      <c r="H10" s="37"/>
      <c r="I10" s="349"/>
    </row>
    <row r="11" spans="1:22" x14ac:dyDescent="0.3">
      <c r="A11" s="6"/>
      <c r="B11" s="278" t="s">
        <v>12</v>
      </c>
      <c r="C11" s="99"/>
      <c r="D11" s="249"/>
      <c r="E11" s="37"/>
      <c r="F11" s="37"/>
      <c r="G11" s="249"/>
      <c r="H11" s="37"/>
      <c r="I11" s="349"/>
    </row>
    <row r="12" spans="1:22" x14ac:dyDescent="0.3">
      <c r="A12" s="6"/>
      <c r="B12" s="277" t="s">
        <v>32</v>
      </c>
      <c r="C12" s="99"/>
      <c r="D12" s="249"/>
      <c r="E12" s="37"/>
      <c r="F12" s="37"/>
      <c r="G12" s="249"/>
      <c r="H12" s="37"/>
      <c r="I12" s="349"/>
    </row>
    <row r="13" spans="1:22" x14ac:dyDescent="0.3">
      <c r="A13" s="6"/>
      <c r="B13" s="277" t="s">
        <v>33</v>
      </c>
      <c r="C13" s="99"/>
      <c r="D13" s="249"/>
      <c r="E13" s="37"/>
      <c r="F13" s="37"/>
      <c r="G13" s="249"/>
      <c r="H13" s="37"/>
      <c r="I13" s="349"/>
    </row>
    <row r="14" spans="1:22" x14ac:dyDescent="0.3">
      <c r="A14" s="6"/>
      <c r="B14" s="278" t="s">
        <v>34</v>
      </c>
      <c r="C14" s="99"/>
      <c r="D14" s="249"/>
      <c r="E14" s="37"/>
      <c r="F14" s="37"/>
      <c r="G14" s="249"/>
      <c r="H14" s="37"/>
      <c r="I14" s="349"/>
    </row>
    <row r="15" spans="1:22" x14ac:dyDescent="0.3">
      <c r="A15" s="6"/>
      <c r="B15" s="278" t="s">
        <v>35</v>
      </c>
      <c r="C15" s="99"/>
      <c r="D15" s="406"/>
      <c r="E15" s="37"/>
      <c r="F15" s="37"/>
      <c r="G15" s="406"/>
      <c r="H15" s="37"/>
      <c r="I15" s="349"/>
    </row>
    <row r="16" spans="1:22" x14ac:dyDescent="0.3">
      <c r="A16" s="6"/>
      <c r="B16" s="277" t="s">
        <v>36</v>
      </c>
      <c r="C16" s="99"/>
      <c r="D16" s="249"/>
      <c r="E16" s="37"/>
      <c r="F16" s="37"/>
      <c r="G16" s="249"/>
      <c r="H16" s="37"/>
      <c r="I16" s="349"/>
    </row>
    <row r="17" spans="1:22" x14ac:dyDescent="0.3">
      <c r="A17" s="6"/>
      <c r="B17" s="277" t="s">
        <v>37</v>
      </c>
      <c r="C17" s="99"/>
      <c r="D17" s="249"/>
      <c r="E17" s="37"/>
      <c r="F17" s="37"/>
      <c r="G17" s="249"/>
      <c r="H17" s="37"/>
      <c r="I17" s="349"/>
    </row>
    <row r="18" spans="1:22" x14ac:dyDescent="0.3">
      <c r="A18" s="6"/>
      <c r="B18" s="278" t="s">
        <v>38</v>
      </c>
      <c r="C18" s="99"/>
      <c r="D18" s="249"/>
      <c r="E18" s="37"/>
      <c r="F18" s="37"/>
      <c r="G18" s="249"/>
      <c r="H18" s="37"/>
      <c r="I18" s="349"/>
    </row>
    <row r="19" spans="1:22" x14ac:dyDescent="0.3">
      <c r="A19" s="102"/>
      <c r="B19" s="278" t="s">
        <v>39</v>
      </c>
      <c r="C19" s="99"/>
      <c r="D19" s="249"/>
      <c r="E19" s="37"/>
      <c r="F19" s="37"/>
      <c r="G19" s="249"/>
      <c r="H19" s="37"/>
      <c r="I19" s="349"/>
    </row>
    <row r="20" spans="1:22" x14ac:dyDescent="0.3">
      <c r="A20" s="6"/>
      <c r="B20" s="277" t="s">
        <v>40</v>
      </c>
      <c r="C20" s="99"/>
      <c r="D20" s="406"/>
      <c r="E20" s="37"/>
      <c r="F20" s="37"/>
      <c r="G20" s="249"/>
      <c r="H20" s="37"/>
      <c r="I20" s="349"/>
    </row>
    <row r="21" spans="1:22" x14ac:dyDescent="0.3">
      <c r="A21" s="6"/>
      <c r="B21" s="277" t="s">
        <v>41</v>
      </c>
      <c r="C21" s="99"/>
      <c r="D21" s="249"/>
      <c r="E21" s="37"/>
      <c r="F21" s="37"/>
      <c r="G21" s="249"/>
      <c r="H21" s="37"/>
      <c r="I21" s="349"/>
    </row>
    <row r="22" spans="1:22" x14ac:dyDescent="0.3">
      <c r="A22" s="6"/>
      <c r="B22" s="278" t="s">
        <v>42</v>
      </c>
      <c r="C22" s="99"/>
      <c r="D22" s="249"/>
      <c r="E22" s="37"/>
      <c r="F22" s="37"/>
      <c r="G22" s="249"/>
      <c r="H22" s="37"/>
      <c r="I22" s="349"/>
    </row>
    <row r="23" spans="1:22" x14ac:dyDescent="0.3">
      <c r="A23" s="6"/>
      <c r="B23" s="278" t="s">
        <v>43</v>
      </c>
      <c r="C23" s="99"/>
      <c r="D23" s="249"/>
      <c r="E23" s="37"/>
      <c r="F23" s="37"/>
      <c r="G23" s="249"/>
      <c r="H23" s="37"/>
      <c r="I23" s="349"/>
    </row>
    <row r="24" spans="1:22" x14ac:dyDescent="0.3">
      <c r="A24" s="6"/>
      <c r="B24" s="277" t="s">
        <v>44</v>
      </c>
      <c r="C24" s="99"/>
      <c r="D24" s="249"/>
      <c r="E24" s="37"/>
      <c r="F24" s="37"/>
      <c r="G24" s="249"/>
      <c r="H24" s="37"/>
      <c r="I24" s="349"/>
    </row>
    <row r="25" spans="1:22" x14ac:dyDescent="0.3">
      <c r="A25" s="6"/>
      <c r="B25" s="277" t="s">
        <v>45</v>
      </c>
      <c r="C25" s="99"/>
      <c r="D25" s="249"/>
      <c r="E25" s="37"/>
      <c r="F25" s="37"/>
      <c r="G25" s="249"/>
      <c r="H25" s="37"/>
      <c r="I25" s="349"/>
    </row>
    <row r="26" spans="1:22" x14ac:dyDescent="0.3">
      <c r="A26" s="6"/>
      <c r="B26" s="278" t="s">
        <v>46</v>
      </c>
      <c r="C26" s="99"/>
      <c r="D26" s="249"/>
      <c r="E26" s="37"/>
      <c r="F26" s="37"/>
      <c r="G26" s="249"/>
      <c r="H26" s="37"/>
      <c r="I26" s="349"/>
    </row>
    <row r="27" spans="1:22" x14ac:dyDescent="0.3">
      <c r="A27" s="6"/>
      <c r="B27" s="279" t="s">
        <v>47</v>
      </c>
      <c r="C27" s="99"/>
      <c r="D27" s="290"/>
      <c r="E27" s="270"/>
      <c r="F27" s="270"/>
      <c r="G27" s="290"/>
      <c r="H27" s="270"/>
      <c r="I27" s="350"/>
    </row>
    <row r="28" spans="1:22" ht="23.25" customHeight="1" thickBot="1" x14ac:dyDescent="0.35">
      <c r="A28" s="6"/>
      <c r="B28" s="280" t="s">
        <v>188</v>
      </c>
      <c r="C28" s="281">
        <f>COUNTA(PLTreatment[Available in Register?])</f>
        <v>0</v>
      </c>
      <c r="D28" s="281">
        <f>COUNTA(PLTreatment[Date of Registration*])</f>
        <v>0</v>
      </c>
      <c r="E28" s="281">
        <f>COUNTA(PLTreatment[Sex])</f>
        <v>0</v>
      </c>
      <c r="F28" s="281">
        <f>COUNTA(PLTreatment[Age 
(&lt;15, 15+)])</f>
        <v>0</v>
      </c>
      <c r="G28" s="281">
        <f>COUNTA(PLTreatment[Date Treatment Started*])</f>
        <v>0</v>
      </c>
      <c r="H28" s="281">
        <f>COUNTA(PLTreatment[mWRD MTB Result])</f>
        <v>0</v>
      </c>
      <c r="I28" s="282">
        <f>COUNTA(PLTreatment[mWRD RIF Result])</f>
        <v>0</v>
      </c>
      <c r="J28" s="6"/>
    </row>
    <row r="29" spans="1:22" ht="30" customHeight="1" x14ac:dyDescent="0.3">
      <c r="A29" s="6"/>
      <c r="B29" s="795" t="s">
        <v>120</v>
      </c>
      <c r="C29" s="795"/>
      <c r="D29" s="795"/>
      <c r="E29" s="795"/>
      <c r="F29" s="795"/>
      <c r="G29" s="795"/>
      <c r="H29" s="6"/>
      <c r="I29" s="6"/>
      <c r="J29" s="6"/>
      <c r="K29" s="6"/>
      <c r="L29" s="6"/>
      <c r="M29" s="6"/>
      <c r="N29" s="6"/>
      <c r="O29" s="6"/>
      <c r="P29" s="6"/>
      <c r="Q29" s="6"/>
      <c r="R29" s="6"/>
      <c r="S29" s="6"/>
      <c r="T29" s="6"/>
      <c r="U29" s="6"/>
      <c r="V29" s="6"/>
    </row>
    <row r="30" spans="1:22" hidden="1" x14ac:dyDescent="0.3">
      <c r="A30" s="6"/>
      <c r="C30" s="388" cm="1">
        <f t="array" ref="C30">SUM(COUNTIF(PLTreatment[Available in Register?],{"Yes"}))</f>
        <v>0</v>
      </c>
      <c r="D30" s="388">
        <f>COUNTA(PLTreatment[Date of Registration*])</f>
        <v>0</v>
      </c>
      <c r="E30" s="388" cm="1">
        <f t="array" ref="E30">SUM(COUNTIF(PLTreatment[Sex],{"Male","Female"}))</f>
        <v>0</v>
      </c>
      <c r="F30" s="388" cm="1">
        <f t="array" ref="F30">SUM(COUNTIF(PLTreatment[Age 
(&lt;15, 15+)],{"0-14","15+"}))</f>
        <v>0</v>
      </c>
      <c r="G30" s="6">
        <f>COUNTA(PLTreatment[Date Treatment Started*])</f>
        <v>0</v>
      </c>
      <c r="H30" s="33" cm="1">
        <f t="array" ref="H30">SUM(COUNTIF(PLTreatment[mWRD MTB Result],{"MTB Detected","MTB Not Detected"}))</f>
        <v>0</v>
      </c>
      <c r="I30" s="33" cm="1">
        <f t="array" ref="I30">SUM(COUNTIF(PLTreatment[mWRD RIF Result],{"RIF Resistance Detected","RIF Resistance Not Detected","RIF Indeterminate"}))</f>
        <v>0</v>
      </c>
      <c r="M30" s="6"/>
      <c r="N30" s="6"/>
      <c r="O30" s="6"/>
      <c r="P30" s="6"/>
      <c r="Q30" s="6"/>
      <c r="R30" s="6"/>
      <c r="S30" s="6"/>
      <c r="T30" s="6"/>
      <c r="U30" s="6"/>
      <c r="V30" s="6"/>
    </row>
    <row r="31" spans="1:22" x14ac:dyDescent="0.3">
      <c r="A31" s="6"/>
      <c r="H31" s="6"/>
      <c r="I31" s="6"/>
      <c r="J31" s="6"/>
      <c r="K31" s="6"/>
      <c r="L31" s="6"/>
      <c r="M31" s="6"/>
      <c r="N31" s="6"/>
      <c r="O31" s="6"/>
      <c r="P31" s="6"/>
      <c r="Q31" s="6"/>
      <c r="R31" s="6"/>
      <c r="S31" s="6"/>
      <c r="T31" s="6"/>
      <c r="U31" s="6"/>
      <c r="V31" s="6"/>
    </row>
    <row r="32" spans="1:22" x14ac:dyDescent="0.3">
      <c r="A32" s="6"/>
      <c r="B32" s="6"/>
      <c r="C32" s="6"/>
      <c r="D32" s="6"/>
      <c r="E32" s="6"/>
      <c r="F32" s="6"/>
      <c r="G32" s="6"/>
      <c r="H32" s="6"/>
      <c r="I32" s="6"/>
      <c r="J32" s="7"/>
      <c r="K32" s="6"/>
      <c r="L32" s="6"/>
      <c r="M32" s="6"/>
      <c r="N32" s="6"/>
      <c r="O32" s="6"/>
      <c r="P32" s="6"/>
      <c r="Q32" s="6"/>
      <c r="R32" s="6"/>
      <c r="S32" s="6"/>
      <c r="T32" s="6"/>
      <c r="U32" s="6"/>
      <c r="V32" s="6"/>
    </row>
    <row r="33" spans="1:22" x14ac:dyDescent="0.3">
      <c r="A33" s="6"/>
      <c r="B33" s="7"/>
      <c r="C33" s="7"/>
      <c r="D33" s="7"/>
      <c r="E33" s="7"/>
      <c r="F33" s="7"/>
      <c r="G33" s="7"/>
      <c r="H33" s="7"/>
      <c r="I33" s="6"/>
      <c r="J33" s="7"/>
      <c r="K33" s="6"/>
      <c r="L33" s="6"/>
      <c r="M33" s="6"/>
      <c r="N33" s="6"/>
      <c r="O33" s="6"/>
      <c r="P33" s="6"/>
      <c r="Q33" s="6"/>
      <c r="R33" s="6"/>
      <c r="S33" s="6"/>
      <c r="T33" s="6"/>
      <c r="U33" s="6"/>
      <c r="V33" s="6"/>
    </row>
    <row r="34" spans="1:22" x14ac:dyDescent="0.3">
      <c r="A34" s="6"/>
      <c r="B34" s="7"/>
      <c r="C34" s="7"/>
      <c r="D34" s="7"/>
      <c r="E34" s="7"/>
      <c r="F34" s="7"/>
      <c r="G34" s="7"/>
      <c r="H34" s="7"/>
      <c r="I34" s="6"/>
      <c r="J34" s="7"/>
      <c r="K34" s="6"/>
      <c r="L34" s="6"/>
      <c r="M34" s="6"/>
      <c r="N34" s="6"/>
      <c r="O34" s="6"/>
      <c r="P34" s="6"/>
      <c r="Q34" s="6"/>
      <c r="R34" s="6"/>
      <c r="S34" s="6"/>
      <c r="T34" s="6"/>
      <c r="U34" s="6"/>
      <c r="V34" s="6"/>
    </row>
    <row r="35" spans="1:22" x14ac:dyDescent="0.3">
      <c r="A35" s="6"/>
      <c r="B35" s="7"/>
      <c r="C35" s="7"/>
      <c r="D35" s="7"/>
      <c r="E35" s="7"/>
      <c r="F35" s="7"/>
      <c r="G35" s="7"/>
      <c r="H35" s="7"/>
      <c r="I35" s="6"/>
      <c r="J35" s="7"/>
      <c r="K35" s="6"/>
      <c r="L35" s="6"/>
      <c r="M35" s="6"/>
      <c r="N35" s="6"/>
      <c r="O35" s="6"/>
      <c r="P35" s="6"/>
      <c r="Q35" s="6"/>
      <c r="R35" s="6"/>
      <c r="S35" s="6"/>
      <c r="T35" s="6"/>
      <c r="U35" s="6"/>
      <c r="V35" s="6"/>
    </row>
    <row r="36" spans="1:22" x14ac:dyDescent="0.3">
      <c r="A36" s="6"/>
      <c r="H36" s="7"/>
      <c r="I36" s="6"/>
      <c r="J36" s="7"/>
      <c r="K36" s="6"/>
      <c r="L36" s="6"/>
      <c r="M36" s="6"/>
      <c r="N36" s="6"/>
      <c r="O36" s="6"/>
      <c r="P36" s="6"/>
      <c r="Q36" s="6"/>
      <c r="R36" s="6"/>
      <c r="S36" s="6"/>
      <c r="T36" s="6"/>
      <c r="U36" s="6"/>
      <c r="V36" s="6"/>
    </row>
    <row r="37" spans="1:22" x14ac:dyDescent="0.3">
      <c r="A37" s="6"/>
      <c r="H37" s="7"/>
      <c r="I37" s="6"/>
      <c r="J37" s="7"/>
      <c r="K37" s="6"/>
      <c r="L37" s="6"/>
      <c r="M37" s="6"/>
      <c r="N37" s="6"/>
      <c r="O37" s="6"/>
      <c r="P37" s="6"/>
      <c r="Q37" s="6"/>
      <c r="R37" s="6"/>
      <c r="S37" s="6"/>
      <c r="T37" s="6"/>
      <c r="U37" s="6"/>
      <c r="V37" s="6"/>
    </row>
    <row r="38" spans="1:22" x14ac:dyDescent="0.3">
      <c r="A38" s="6"/>
      <c r="H38" s="7"/>
      <c r="I38" s="6"/>
      <c r="J38" s="7"/>
      <c r="K38" s="6"/>
      <c r="L38" s="6"/>
      <c r="M38" s="6"/>
      <c r="N38" s="6"/>
      <c r="O38" s="6"/>
      <c r="P38" s="6"/>
      <c r="Q38" s="6"/>
      <c r="R38" s="6"/>
      <c r="S38" s="6"/>
      <c r="T38" s="6"/>
      <c r="U38" s="6"/>
      <c r="V38" s="6"/>
    </row>
    <row r="39" spans="1:22" x14ac:dyDescent="0.3">
      <c r="A39" s="6"/>
      <c r="B39" s="7"/>
      <c r="C39" s="7"/>
      <c r="D39" s="7"/>
      <c r="E39" s="7"/>
      <c r="F39" s="7"/>
      <c r="G39" s="7"/>
      <c r="H39" s="7"/>
      <c r="I39" s="6"/>
      <c r="J39" s="7"/>
      <c r="K39" s="6"/>
      <c r="L39" s="6"/>
      <c r="M39" s="6"/>
      <c r="N39" s="6"/>
      <c r="O39" s="6"/>
      <c r="P39" s="6"/>
      <c r="Q39" s="6"/>
      <c r="R39" s="6"/>
      <c r="S39" s="6"/>
      <c r="T39" s="6"/>
      <c r="U39" s="6"/>
      <c r="V39" s="6"/>
    </row>
    <row r="40" spans="1:22" x14ac:dyDescent="0.3">
      <c r="A40" s="6"/>
      <c r="B40" s="7"/>
      <c r="C40" s="7"/>
      <c r="D40" s="7"/>
      <c r="E40" s="7"/>
      <c r="F40" s="7"/>
      <c r="G40" s="7"/>
      <c r="H40" s="7"/>
      <c r="I40" s="6"/>
      <c r="J40" s="7"/>
      <c r="K40" s="6"/>
      <c r="L40" s="6"/>
      <c r="M40" s="6"/>
      <c r="N40" s="6"/>
      <c r="O40" s="6"/>
      <c r="P40" s="6"/>
      <c r="Q40" s="6"/>
      <c r="R40" s="6"/>
      <c r="S40" s="6"/>
      <c r="T40" s="6"/>
      <c r="U40" s="6"/>
      <c r="V40" s="6"/>
    </row>
    <row r="41" spans="1:22" x14ac:dyDescent="0.3">
      <c r="A41" s="6"/>
      <c r="B41" s="7"/>
      <c r="C41" s="7"/>
      <c r="D41" s="7"/>
      <c r="E41" s="7"/>
      <c r="F41" s="7"/>
      <c r="G41" s="7"/>
      <c r="H41" s="7"/>
      <c r="I41" s="6"/>
      <c r="J41" s="7"/>
      <c r="K41" s="6"/>
      <c r="L41" s="6"/>
      <c r="M41" s="6"/>
      <c r="N41" s="6"/>
      <c r="O41" s="6"/>
      <c r="P41" s="6"/>
      <c r="Q41" s="6"/>
      <c r="R41" s="6"/>
      <c r="S41" s="6"/>
      <c r="T41" s="6"/>
      <c r="U41" s="6"/>
      <c r="V41" s="6"/>
    </row>
    <row r="42" spans="1:22" x14ac:dyDescent="0.3">
      <c r="A42" s="6"/>
      <c r="B42" s="7"/>
      <c r="C42" s="7"/>
      <c r="D42" s="7"/>
      <c r="E42" s="7"/>
      <c r="F42" s="7"/>
      <c r="G42" s="7"/>
      <c r="H42" s="7"/>
      <c r="I42" s="6"/>
      <c r="J42" s="7"/>
      <c r="K42" s="6"/>
      <c r="L42" s="6"/>
      <c r="M42" s="6"/>
      <c r="N42" s="6"/>
      <c r="O42" s="6"/>
      <c r="P42" s="6"/>
      <c r="Q42" s="6"/>
      <c r="R42" s="6"/>
      <c r="S42" s="6"/>
      <c r="T42" s="6"/>
      <c r="U42" s="6"/>
      <c r="V42" s="6"/>
    </row>
    <row r="43" spans="1:22" x14ac:dyDescent="0.3">
      <c r="A43" s="6"/>
      <c r="B43" s="7"/>
      <c r="C43" s="7"/>
      <c r="D43" s="7"/>
      <c r="E43" s="7"/>
      <c r="F43" s="7"/>
      <c r="G43" s="7"/>
      <c r="H43" s="7"/>
      <c r="I43" s="6"/>
      <c r="J43" s="7"/>
      <c r="K43" s="6"/>
      <c r="L43" s="6"/>
      <c r="M43" s="6"/>
      <c r="N43" s="6"/>
      <c r="O43" s="6"/>
      <c r="P43" s="6"/>
      <c r="Q43" s="6"/>
      <c r="R43" s="6"/>
      <c r="S43" s="6"/>
      <c r="T43" s="6"/>
      <c r="U43" s="6"/>
      <c r="V43" s="6"/>
    </row>
    <row r="44" spans="1:22" x14ac:dyDescent="0.3">
      <c r="A44" s="6"/>
      <c r="B44" s="6"/>
      <c r="C44" s="6"/>
      <c r="D44" s="6"/>
      <c r="E44" s="6"/>
      <c r="F44" s="6"/>
      <c r="G44" s="6"/>
      <c r="H44" s="6"/>
      <c r="I44" s="6"/>
      <c r="J44" s="7"/>
      <c r="K44" s="6"/>
      <c r="L44" s="6"/>
      <c r="M44" s="6"/>
      <c r="N44" s="6"/>
      <c r="O44" s="6"/>
      <c r="P44" s="6"/>
      <c r="Q44" s="6"/>
      <c r="R44" s="6"/>
      <c r="S44" s="6"/>
      <c r="T44" s="6"/>
      <c r="U44" s="6"/>
      <c r="V44" s="6"/>
    </row>
    <row r="45" spans="1:22" x14ac:dyDescent="0.3">
      <c r="A45" s="6"/>
      <c r="B45" s="6"/>
      <c r="C45" s="6"/>
      <c r="D45" s="6"/>
      <c r="E45" s="6"/>
      <c r="F45" s="6"/>
      <c r="G45" s="6"/>
      <c r="H45" s="6"/>
      <c r="I45" s="6"/>
      <c r="J45" s="7"/>
      <c r="K45" s="6"/>
      <c r="L45" s="6"/>
      <c r="M45" s="6"/>
      <c r="N45" s="6"/>
      <c r="O45" s="6"/>
      <c r="P45" s="6"/>
      <c r="Q45" s="6"/>
      <c r="R45" s="6"/>
      <c r="S45" s="6"/>
      <c r="T45" s="6"/>
      <c r="U45" s="6"/>
      <c r="V45" s="6"/>
    </row>
    <row r="46" spans="1:22" x14ac:dyDescent="0.3">
      <c r="A46" s="6"/>
      <c r="B46" s="6"/>
      <c r="C46" s="6"/>
      <c r="D46" s="6"/>
      <c r="E46" s="6"/>
      <c r="F46" s="6"/>
      <c r="G46" s="6"/>
      <c r="H46" s="6"/>
      <c r="I46" s="6"/>
      <c r="J46" s="7"/>
      <c r="K46" s="6"/>
      <c r="L46" s="6"/>
      <c r="M46" s="6"/>
      <c r="N46" s="6"/>
      <c r="O46" s="6"/>
      <c r="P46" s="6"/>
      <c r="Q46" s="6"/>
      <c r="R46" s="6"/>
      <c r="S46" s="6"/>
      <c r="T46" s="6"/>
      <c r="U46" s="6"/>
      <c r="V46" s="6"/>
    </row>
    <row r="47" spans="1:22" x14ac:dyDescent="0.3">
      <c r="B47" s="6"/>
      <c r="C47" s="6"/>
      <c r="D47" s="6"/>
      <c r="E47" s="6"/>
      <c r="F47" s="6"/>
      <c r="G47" s="6"/>
      <c r="H47" s="6"/>
      <c r="I47" s="6"/>
      <c r="J47" s="7"/>
      <c r="K47" s="6"/>
      <c r="L47" s="6"/>
      <c r="M47" s="6"/>
      <c r="N47" s="6"/>
      <c r="O47" s="6"/>
      <c r="P47" s="6"/>
      <c r="Q47" s="6"/>
      <c r="R47" s="6"/>
      <c r="S47" s="6"/>
      <c r="T47" s="6"/>
      <c r="U47" s="6"/>
    </row>
  </sheetData>
  <mergeCells count="5">
    <mergeCell ref="B1:G1"/>
    <mergeCell ref="B3:H3"/>
    <mergeCell ref="B4:H4"/>
    <mergeCell ref="B29:G29"/>
    <mergeCell ref="B6:I6"/>
  </mergeCells>
  <dataValidations count="5">
    <dataValidation type="list" allowBlank="1" showInputMessage="1" showErrorMessage="1" sqref="I8:I27" xr:uid="{00000000-0002-0000-0C00-000000000000}">
      <formula1>"RIF Resistance Not Detected, RIF Resistance Detected, RIF Indeterminate, Blank"</formula1>
    </dataValidation>
    <dataValidation type="list" allowBlank="1" showInputMessage="1" showErrorMessage="1" sqref="H8:H27" xr:uid="{00000000-0002-0000-0C00-000001000000}">
      <formula1>"MTB Detected, MTB Not Detected, Blank"</formula1>
    </dataValidation>
    <dataValidation type="list" allowBlank="1" showInputMessage="1" showErrorMessage="1" sqref="F8:F27" xr:uid="{00000000-0002-0000-0C00-000002000000}">
      <formula1>"0-14, 15+, Unknown, Blank"</formula1>
    </dataValidation>
    <dataValidation type="list" allowBlank="1" showInputMessage="1" showErrorMessage="1" sqref="E8:E27" xr:uid="{00000000-0002-0000-0C00-000003000000}">
      <formula1>"Male, Female, Unknown, Blank"</formula1>
    </dataValidation>
    <dataValidation type="list" allowBlank="1" showInputMessage="1" showErrorMessage="1" sqref="C8:C27" xr:uid="{00000000-0002-0000-0C00-000004000000}">
      <formula1>"Yes, No"</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date" allowBlank="1" showInputMessage="1" showErrorMessage="1" errorTitle="Check Date" error="This is a retrospective analysis. Dates should be prior to today and in the designated date format. " xr:uid="{00000000-0002-0000-0C00-000005000000}">
          <x14:formula1>
            <xm:f>36526</xm:f>
          </x14:formula1>
          <x14:formula2>
            <xm:f>'1. ASSESSMENT PROFILE'!$F$18</xm:f>
          </x14:formula2>
          <xm:sqref>D8 G8 G16:G27 D10:D14 G10:G14 D16:D19 D21:D27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7"/>
  </sheetPr>
  <dimension ref="A1:AI121"/>
  <sheetViews>
    <sheetView showGridLines="0" zoomScale="60" zoomScaleNormal="60" workbookViewId="0">
      <selection activeCell="N25" sqref="N25"/>
    </sheetView>
  </sheetViews>
  <sheetFormatPr defaultRowHeight="14.4" x14ac:dyDescent="0.3"/>
  <cols>
    <col min="1" max="1" width="6.33203125" customWidth="1"/>
    <col min="2" max="9" width="26.6640625" customWidth="1"/>
    <col min="10" max="10" width="11.33203125" customWidth="1"/>
    <col min="11" max="11" width="16.6640625" customWidth="1"/>
    <col min="12" max="12" width="12.88671875" customWidth="1"/>
    <col min="13" max="13" width="18" customWidth="1"/>
    <col min="14" max="14" width="21.6640625" customWidth="1"/>
    <col min="15" max="15" width="21.5546875" customWidth="1"/>
    <col min="16" max="16" width="13.33203125" customWidth="1"/>
    <col min="17" max="17" width="12.6640625" customWidth="1"/>
    <col min="18" max="18" width="13.6640625" customWidth="1"/>
    <col min="19" max="19" width="16.44140625" customWidth="1"/>
    <col min="20" max="20" width="15.109375" customWidth="1"/>
    <col min="21" max="21" width="13.33203125" customWidth="1"/>
    <col min="22" max="22" width="15.6640625" customWidth="1"/>
    <col min="23" max="23" width="16" customWidth="1"/>
    <col min="24" max="24" width="7.5546875" customWidth="1"/>
    <col min="26" max="26" width="9.88671875" customWidth="1"/>
    <col min="27" max="27" width="10.6640625" customWidth="1"/>
    <col min="28" max="28" width="14.6640625" customWidth="1"/>
    <col min="31" max="31" width="9.44140625" customWidth="1"/>
    <col min="32" max="32" width="10.33203125" customWidth="1"/>
    <col min="35" max="35" width="9.6640625" customWidth="1"/>
  </cols>
  <sheetData>
    <row r="1" spans="1:35" s="244" customFormat="1" ht="23.4" x14ac:dyDescent="0.3">
      <c r="A1" s="243" t="s">
        <v>158</v>
      </c>
      <c r="B1" s="243"/>
      <c r="D1" s="245"/>
      <c r="E1" s="245"/>
      <c r="F1" s="246"/>
      <c r="G1" s="245"/>
      <c r="H1" s="247"/>
    </row>
    <row r="2" spans="1:35" ht="15" thickBot="1" x14ac:dyDescent="0.35">
      <c r="A2" s="240"/>
      <c r="B2" s="240"/>
      <c r="C2" s="163"/>
      <c r="D2" s="241"/>
      <c r="E2" s="241"/>
      <c r="F2" s="242"/>
      <c r="G2" s="241"/>
      <c r="H2" s="12"/>
      <c r="I2" s="163"/>
      <c r="J2" s="163"/>
      <c r="K2" s="163"/>
      <c r="L2" s="163"/>
      <c r="M2" s="163"/>
      <c r="N2" s="163"/>
      <c r="O2" s="163"/>
      <c r="P2" s="163"/>
      <c r="Q2" s="163"/>
      <c r="R2" s="163"/>
      <c r="S2" s="163"/>
      <c r="T2" s="163"/>
      <c r="U2" s="163"/>
      <c r="V2" s="163"/>
      <c r="W2" s="163"/>
    </row>
    <row r="3" spans="1:35" s="20" customFormat="1" x14ac:dyDescent="0.3">
      <c r="B3" s="205" t="s">
        <v>145</v>
      </c>
      <c r="C3" s="206"/>
      <c r="D3" s="207"/>
      <c r="E3" s="207"/>
      <c r="F3" s="208"/>
      <c r="G3" s="207"/>
      <c r="H3" s="209"/>
      <c r="I3" s="206"/>
      <c r="J3" s="206"/>
      <c r="K3" s="206"/>
      <c r="L3" s="206"/>
      <c r="M3" s="206"/>
      <c r="N3" s="206"/>
      <c r="O3" s="206"/>
      <c r="P3" s="206"/>
      <c r="Q3" s="210"/>
      <c r="R3" s="156"/>
      <c r="S3" s="156"/>
      <c r="T3" s="156"/>
      <c r="U3" s="156"/>
      <c r="V3" s="156"/>
      <c r="W3" s="156"/>
      <c r="X3" s="156"/>
    </row>
    <row r="4" spans="1:35" s="20" customFormat="1" x14ac:dyDescent="0.3">
      <c r="B4" s="211" t="s">
        <v>183</v>
      </c>
      <c r="C4" s="156"/>
      <c r="D4" s="194"/>
      <c r="E4" s="194"/>
      <c r="F4" s="204"/>
      <c r="G4" s="194"/>
      <c r="H4" s="167"/>
      <c r="I4" s="156"/>
      <c r="J4" s="156"/>
      <c r="K4" s="156"/>
      <c r="L4" s="156"/>
      <c r="M4" s="156"/>
      <c r="N4" s="156"/>
      <c r="O4" s="156"/>
      <c r="P4" s="156"/>
      <c r="Q4" s="212"/>
      <c r="R4" s="156"/>
      <c r="S4" s="156"/>
      <c r="T4" s="156"/>
      <c r="U4" s="156"/>
      <c r="V4" s="156"/>
      <c r="W4" s="156"/>
      <c r="X4" s="156"/>
    </row>
    <row r="5" spans="1:35" s="20" customFormat="1" ht="15" thickBot="1" x14ac:dyDescent="0.35">
      <c r="B5" s="213" t="s">
        <v>148</v>
      </c>
      <c r="C5" s="214"/>
      <c r="D5" s="215"/>
      <c r="E5" s="215"/>
      <c r="F5" s="216"/>
      <c r="G5" s="215"/>
      <c r="H5" s="217"/>
      <c r="I5" s="214"/>
      <c r="J5" s="214"/>
      <c r="K5" s="214"/>
      <c r="L5" s="214"/>
      <c r="M5" s="214"/>
      <c r="N5" s="214"/>
      <c r="O5" s="214"/>
      <c r="P5" s="214"/>
      <c r="Q5" s="218"/>
      <c r="R5" s="156"/>
      <c r="S5" s="156"/>
      <c r="T5" s="156"/>
      <c r="U5" s="156"/>
      <c r="V5" s="156"/>
      <c r="W5" s="156"/>
      <c r="X5" s="156"/>
    </row>
    <row r="6" spans="1:35" ht="23.4" x14ac:dyDescent="0.3">
      <c r="A6" s="560"/>
      <c r="C6" s="171"/>
      <c r="D6" s="171"/>
      <c r="E6" s="172"/>
      <c r="F6" s="171"/>
      <c r="G6" s="173"/>
    </row>
    <row r="7" spans="1:35" s="1" customFormat="1" x14ac:dyDescent="0.3">
      <c r="A7" s="112"/>
      <c r="B7" s="345"/>
      <c r="C7" s="345"/>
      <c r="D7" s="833" t="s">
        <v>14</v>
      </c>
      <c r="E7" s="833"/>
      <c r="F7" s="833" t="s">
        <v>64</v>
      </c>
      <c r="G7" s="833"/>
      <c r="H7" s="846" t="s">
        <v>258</v>
      </c>
      <c r="I7" s="847"/>
      <c r="J7" s="850"/>
      <c r="K7" s="846" t="s">
        <v>159</v>
      </c>
      <c r="L7" s="850"/>
      <c r="O7"/>
      <c r="P7"/>
      <c r="Q7"/>
      <c r="R7"/>
      <c r="S7"/>
      <c r="T7"/>
      <c r="U7"/>
      <c r="V7"/>
      <c r="W7"/>
      <c r="X7" s="174"/>
      <c r="Y7" s="174"/>
      <c r="Z7" s="174"/>
      <c r="AA7" s="174"/>
      <c r="AB7" s="174"/>
      <c r="AC7" s="849"/>
      <c r="AD7" s="849"/>
      <c r="AE7" s="849"/>
      <c r="AF7" s="849"/>
      <c r="AG7" s="849"/>
      <c r="AH7" s="849"/>
      <c r="AI7" s="849"/>
    </row>
    <row r="8" spans="1:35" s="18" customFormat="1" ht="45.6" customHeight="1" x14ac:dyDescent="0.3">
      <c r="A8"/>
      <c r="B8" s="141" t="s">
        <v>59</v>
      </c>
      <c r="C8" s="141" t="s">
        <v>63</v>
      </c>
      <c r="D8" s="141" t="s">
        <v>53</v>
      </c>
      <c r="E8" s="141" t="s">
        <v>61</v>
      </c>
      <c r="F8" s="141" t="s">
        <v>234</v>
      </c>
      <c r="G8" s="141" t="s">
        <v>160</v>
      </c>
      <c r="H8" s="400" t="s">
        <v>255</v>
      </c>
      <c r="I8" s="400" t="s">
        <v>256</v>
      </c>
      <c r="J8" s="400" t="s">
        <v>257</v>
      </c>
      <c r="K8" s="141" t="s">
        <v>245</v>
      </c>
      <c r="L8" s="141" t="s">
        <v>161</v>
      </c>
      <c r="M8"/>
      <c r="N8"/>
      <c r="O8"/>
      <c r="P8"/>
      <c r="Q8"/>
      <c r="R8"/>
      <c r="S8"/>
      <c r="T8"/>
      <c r="U8"/>
      <c r="V8"/>
      <c r="W8"/>
      <c r="X8"/>
      <c r="Y8"/>
      <c r="Z8"/>
    </row>
    <row r="9" spans="1:35" x14ac:dyDescent="0.3">
      <c r="B9" s="175">
        <v>1</v>
      </c>
    </row>
    <row r="10" spans="1:35" x14ac:dyDescent="0.3">
      <c r="B10" s="175">
        <v>2</v>
      </c>
    </row>
    <row r="11" spans="1:35" x14ac:dyDescent="0.3">
      <c r="B11" s="175">
        <v>3</v>
      </c>
    </row>
    <row r="12" spans="1:35" x14ac:dyDescent="0.3">
      <c r="B12" s="175">
        <v>4</v>
      </c>
    </row>
    <row r="13" spans="1:35" x14ac:dyDescent="0.3">
      <c r="B13" s="175">
        <v>5</v>
      </c>
    </row>
    <row r="14" spans="1:35" x14ac:dyDescent="0.3">
      <c r="B14" s="175">
        <v>6</v>
      </c>
    </row>
    <row r="15" spans="1:35" x14ac:dyDescent="0.3">
      <c r="B15" s="175">
        <v>7</v>
      </c>
    </row>
    <row r="16" spans="1:35" x14ac:dyDescent="0.3">
      <c r="B16" s="175">
        <v>8</v>
      </c>
    </row>
    <row r="17" spans="2:2" x14ac:dyDescent="0.3">
      <c r="B17" s="175">
        <v>9</v>
      </c>
    </row>
    <row r="18" spans="2:2" x14ac:dyDescent="0.3">
      <c r="B18" s="175">
        <v>10</v>
      </c>
    </row>
    <row r="19" spans="2:2" x14ac:dyDescent="0.3">
      <c r="B19" s="175">
        <v>11</v>
      </c>
    </row>
    <row r="20" spans="2:2" x14ac:dyDescent="0.3">
      <c r="B20" s="175">
        <v>12</v>
      </c>
    </row>
    <row r="21" spans="2:2" x14ac:dyDescent="0.3">
      <c r="B21" s="175">
        <v>13</v>
      </c>
    </row>
    <row r="22" spans="2:2" x14ac:dyDescent="0.3">
      <c r="B22" s="175">
        <v>14</v>
      </c>
    </row>
    <row r="23" spans="2:2" x14ac:dyDescent="0.3">
      <c r="B23" s="175">
        <v>15</v>
      </c>
    </row>
    <row r="24" spans="2:2" x14ac:dyDescent="0.3">
      <c r="B24" s="175">
        <v>16</v>
      </c>
    </row>
    <row r="25" spans="2:2" x14ac:dyDescent="0.3">
      <c r="B25" s="175">
        <v>17</v>
      </c>
    </row>
    <row r="26" spans="2:2" x14ac:dyDescent="0.3">
      <c r="B26" s="175">
        <v>18</v>
      </c>
    </row>
    <row r="27" spans="2:2" x14ac:dyDescent="0.3">
      <c r="B27" s="175">
        <v>19</v>
      </c>
    </row>
    <row r="28" spans="2:2" x14ac:dyDescent="0.3">
      <c r="B28" s="175">
        <v>20</v>
      </c>
    </row>
    <row r="29" spans="2:2" x14ac:dyDescent="0.3">
      <c r="B29" s="175">
        <v>21</v>
      </c>
    </row>
    <row r="30" spans="2:2" x14ac:dyDescent="0.3">
      <c r="B30" s="175">
        <v>22</v>
      </c>
    </row>
    <row r="31" spans="2:2" x14ac:dyDescent="0.3">
      <c r="B31" s="175">
        <v>23</v>
      </c>
    </row>
    <row r="32" spans="2:2" x14ac:dyDescent="0.3">
      <c r="B32" s="175">
        <v>24</v>
      </c>
    </row>
    <row r="33" spans="2:2" x14ac:dyDescent="0.3">
      <c r="B33" s="175">
        <v>25</v>
      </c>
    </row>
    <row r="34" spans="2:2" x14ac:dyDescent="0.3">
      <c r="B34" s="175">
        <v>26</v>
      </c>
    </row>
    <row r="35" spans="2:2" x14ac:dyDescent="0.3">
      <c r="B35" s="175">
        <v>27</v>
      </c>
    </row>
    <row r="36" spans="2:2" x14ac:dyDescent="0.3">
      <c r="B36" s="175">
        <v>28</v>
      </c>
    </row>
    <row r="37" spans="2:2" x14ac:dyDescent="0.3">
      <c r="B37" s="175">
        <v>29</v>
      </c>
    </row>
    <row r="38" spans="2:2" x14ac:dyDescent="0.3">
      <c r="B38" s="175">
        <v>30</v>
      </c>
    </row>
    <row r="39" spans="2:2" x14ac:dyDescent="0.3">
      <c r="B39" s="175">
        <v>31</v>
      </c>
    </row>
    <row r="40" spans="2:2" x14ac:dyDescent="0.3">
      <c r="B40" s="175">
        <v>32</v>
      </c>
    </row>
    <row r="41" spans="2:2" x14ac:dyDescent="0.3">
      <c r="B41" s="175">
        <v>33</v>
      </c>
    </row>
    <row r="42" spans="2:2" x14ac:dyDescent="0.3">
      <c r="B42" s="175">
        <v>34</v>
      </c>
    </row>
    <row r="43" spans="2:2" x14ac:dyDescent="0.3">
      <c r="B43" s="175">
        <v>35</v>
      </c>
    </row>
    <row r="44" spans="2:2" x14ac:dyDescent="0.3">
      <c r="B44" s="175">
        <v>36</v>
      </c>
    </row>
    <row r="45" spans="2:2" x14ac:dyDescent="0.3">
      <c r="B45" s="175">
        <v>37</v>
      </c>
    </row>
    <row r="46" spans="2:2" x14ac:dyDescent="0.3">
      <c r="B46" s="175">
        <v>38</v>
      </c>
    </row>
    <row r="47" spans="2:2" x14ac:dyDescent="0.3">
      <c r="B47" s="175">
        <v>39</v>
      </c>
    </row>
    <row r="48" spans="2:2" x14ac:dyDescent="0.3">
      <c r="B48" s="175">
        <v>40</v>
      </c>
    </row>
    <row r="49" spans="2:12" x14ac:dyDescent="0.3">
      <c r="B49" s="175">
        <v>41</v>
      </c>
    </row>
    <row r="50" spans="2:12" x14ac:dyDescent="0.3">
      <c r="B50" s="175">
        <v>42</v>
      </c>
    </row>
    <row r="51" spans="2:12" x14ac:dyDescent="0.3">
      <c r="B51" s="175">
        <v>43</v>
      </c>
    </row>
    <row r="52" spans="2:12" x14ac:dyDescent="0.3">
      <c r="B52" s="175">
        <v>44</v>
      </c>
    </row>
    <row r="53" spans="2:12" x14ac:dyDescent="0.3">
      <c r="B53" s="175">
        <v>45</v>
      </c>
    </row>
    <row r="54" spans="2:12" x14ac:dyDescent="0.3">
      <c r="B54" s="175">
        <v>46</v>
      </c>
    </row>
    <row r="55" spans="2:12" x14ac:dyDescent="0.3">
      <c r="B55" s="175">
        <v>47</v>
      </c>
    </row>
    <row r="56" spans="2:12" x14ac:dyDescent="0.3">
      <c r="B56" s="175">
        <v>48</v>
      </c>
    </row>
    <row r="57" spans="2:12" x14ac:dyDescent="0.3">
      <c r="B57" s="175">
        <v>49</v>
      </c>
    </row>
    <row r="58" spans="2:12" x14ac:dyDescent="0.3">
      <c r="B58" s="175">
        <v>50</v>
      </c>
    </row>
    <row r="59" spans="2:12" hidden="1" x14ac:dyDescent="0.3">
      <c r="B59" s="145" t="s">
        <v>84</v>
      </c>
      <c r="C59" s="142">
        <f>SUM(AggTPTP1[[Total Patients ]])</f>
        <v>0</v>
      </c>
      <c r="D59" s="142">
        <f>SUM(AggTPTP1[Age 0-14])</f>
        <v>0</v>
      </c>
      <c r="E59" s="142">
        <f>SUM(AggTPTP1[Age 15+])</f>
        <v>0</v>
      </c>
      <c r="F59" s="142">
        <f>SUM(AggTPTP1[PLHIV newly enrolled into HIV care and treatment])</f>
        <v>0</v>
      </c>
      <c r="G59" s="142">
        <f>SUM(AggTPTP1[PLHIV on follow-up visit for HIV care and treatment ])</f>
        <v>0</v>
      </c>
      <c r="H59" s="142">
        <f>SUBTOTAL(109,AggTPTP1[3HP])</f>
        <v>0</v>
      </c>
      <c r="I59" s="142">
        <f>SUBTOTAL(109,AggTPTP1[6H])</f>
        <v>0</v>
      </c>
      <c r="J59" s="142">
        <f>SUBTOTAL(109,AggTPTP1[Other])</f>
        <v>0</v>
      </c>
      <c r="K59" s="142">
        <f>SUM(AggTPTP1[TPT Completed])</f>
        <v>0</v>
      </c>
      <c r="L59" s="142">
        <f>SUM(AggTPTP1[Transferred out])</f>
        <v>0</v>
      </c>
    </row>
    <row r="60" spans="2:12" x14ac:dyDescent="0.3">
      <c r="B60" s="154" t="s">
        <v>84</v>
      </c>
      <c r="C60" s="24">
        <f>AggTPTP1[[#Totals],[Total Patients ]]</f>
        <v>0</v>
      </c>
      <c r="D60" s="24">
        <f>AggTPTP1[[#Totals],[Age 0-14]]</f>
        <v>0</v>
      </c>
      <c r="E60" s="24">
        <f>AggTPTP1[[#Totals],[Age 15+]]</f>
        <v>0</v>
      </c>
      <c r="F60" s="24">
        <f>AggTPTP1[[#Totals],[PLHIV newly enrolled into HIV care and treatment]]</f>
        <v>0</v>
      </c>
      <c r="G60" s="24">
        <f>AggTPTP1[[#Totals],[PLHIV on follow-up visit for HIV care and treatment ]]</f>
        <v>0</v>
      </c>
      <c r="H60" s="24">
        <f>AggTPTP1[[#Totals],[3HP]]</f>
        <v>0</v>
      </c>
      <c r="I60" s="24">
        <f>AggTPTP1[[#Totals],[6H]]</f>
        <v>0</v>
      </c>
      <c r="J60" s="24">
        <f>AggTPTP1[[#Totals],[Other]]</f>
        <v>0</v>
      </c>
      <c r="K60" s="24">
        <f>AggTPTP1[[#Totals],[TPT Completed]]</f>
        <v>0</v>
      </c>
      <c r="L60" s="24">
        <f>AggTPTP1[[#Totals],[Transferred out]]</f>
        <v>0</v>
      </c>
    </row>
    <row r="64" spans="2:12" ht="68.400000000000006" customHeight="1" x14ac:dyDescent="0.3"/>
    <row r="90" hidden="1" x14ac:dyDescent="0.3"/>
    <row r="95" ht="52.8" customHeight="1" x14ac:dyDescent="0.3"/>
    <row r="121" hidden="1" x14ac:dyDescent="0.3"/>
  </sheetData>
  <mergeCells count="5">
    <mergeCell ref="D7:E7"/>
    <mergeCell ref="F7:G7"/>
    <mergeCell ref="AC7:AI7"/>
    <mergeCell ref="K7:L7"/>
    <mergeCell ref="H7:J7"/>
  </mergeCells>
  <phoneticPr fontId="25"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C000"/>
  </sheetPr>
  <dimension ref="A1:V47"/>
  <sheetViews>
    <sheetView showGridLines="0" zoomScale="83" workbookViewId="0">
      <selection activeCell="B4" sqref="B4:J4"/>
    </sheetView>
  </sheetViews>
  <sheetFormatPr defaultRowHeight="14.4" x14ac:dyDescent="0.3"/>
  <cols>
    <col min="1" max="1" width="2.5546875" customWidth="1"/>
    <col min="2" max="2" width="9.109375" bestFit="1" customWidth="1"/>
    <col min="3" max="3" width="12.33203125" bestFit="1" customWidth="1"/>
    <col min="4" max="4" width="9.88671875" bestFit="1" customWidth="1"/>
    <col min="5" max="5" width="9" bestFit="1" customWidth="1"/>
    <col min="6" max="6" width="8" bestFit="1" customWidth="1"/>
    <col min="7" max="7" width="9.44140625" bestFit="1" customWidth="1"/>
    <col min="8" max="8" width="16.33203125" bestFit="1" customWidth="1"/>
    <col min="9" max="9" width="23.5546875" bestFit="1" customWidth="1"/>
    <col min="10" max="10" width="12.109375" bestFit="1" customWidth="1"/>
    <col min="11" max="11" width="15.5546875" bestFit="1" customWidth="1"/>
    <col min="12" max="12" width="10.33203125" customWidth="1"/>
    <col min="13" max="13" width="10.109375" customWidth="1"/>
    <col min="14" max="14" width="12.33203125" customWidth="1"/>
    <col min="15" max="15" width="11.44140625" customWidth="1"/>
    <col min="16" max="16" width="12.109375" customWidth="1"/>
    <col min="17" max="17" width="11" customWidth="1"/>
    <col min="18" max="18" width="12.109375" customWidth="1"/>
    <col min="19" max="19" width="8.88671875" customWidth="1"/>
    <col min="20" max="20" width="10.109375" customWidth="1"/>
    <col min="21" max="21" width="66.33203125" customWidth="1"/>
    <col min="23" max="23" width="30" customWidth="1"/>
  </cols>
  <sheetData>
    <row r="1" spans="1:22" s="292" customFormat="1" ht="21" x14ac:dyDescent="0.3">
      <c r="A1" s="291"/>
      <c r="B1" s="851" t="s">
        <v>79</v>
      </c>
      <c r="C1" s="851"/>
      <c r="D1" s="851"/>
      <c r="E1" s="851"/>
      <c r="F1" s="851"/>
      <c r="G1" s="851"/>
      <c r="H1" s="291"/>
      <c r="I1" s="291"/>
      <c r="J1" s="291"/>
      <c r="K1" s="291"/>
      <c r="L1" s="291"/>
      <c r="M1" s="291"/>
      <c r="N1" s="291"/>
      <c r="O1" s="291"/>
      <c r="P1" s="291"/>
      <c r="Q1" s="291"/>
      <c r="R1" s="291"/>
      <c r="S1" s="291"/>
      <c r="T1" s="291"/>
      <c r="U1" s="291"/>
      <c r="V1" s="291"/>
    </row>
    <row r="2" spans="1:22" ht="21.6" thickBot="1" x14ac:dyDescent="0.35">
      <c r="A2" s="44"/>
      <c r="B2" s="90"/>
      <c r="C2" s="90"/>
      <c r="D2" s="90"/>
      <c r="E2" s="90"/>
      <c r="F2" s="90"/>
      <c r="G2" s="90"/>
      <c r="H2" s="44"/>
      <c r="I2" s="44"/>
      <c r="J2" s="44"/>
      <c r="K2" s="44"/>
      <c r="L2" s="44"/>
      <c r="M2" s="44"/>
      <c r="N2" s="44"/>
      <c r="O2" s="44"/>
      <c r="P2" s="44"/>
      <c r="Q2" s="44"/>
      <c r="R2" s="44"/>
      <c r="S2" s="44"/>
      <c r="T2" s="44"/>
      <c r="U2" s="44"/>
      <c r="V2" s="44"/>
    </row>
    <row r="3" spans="1:22" ht="15" customHeight="1" x14ac:dyDescent="0.3">
      <c r="A3" s="6"/>
      <c r="B3" s="802" t="s">
        <v>76</v>
      </c>
      <c r="C3" s="803"/>
      <c r="D3" s="803"/>
      <c r="E3" s="803"/>
      <c r="F3" s="803"/>
      <c r="G3" s="803"/>
      <c r="H3" s="803"/>
      <c r="I3" s="803"/>
      <c r="J3" s="804"/>
      <c r="K3" s="6"/>
      <c r="L3" s="6"/>
      <c r="M3" s="6"/>
      <c r="N3" s="6"/>
      <c r="O3" s="6"/>
      <c r="P3" s="6"/>
      <c r="Q3" s="6"/>
      <c r="R3" s="6"/>
      <c r="S3" s="6"/>
      <c r="T3" s="6"/>
      <c r="U3" s="6"/>
      <c r="V3" s="6"/>
    </row>
    <row r="4" spans="1:22" ht="76.95" customHeight="1" thickBot="1" x14ac:dyDescent="0.35">
      <c r="A4" s="6"/>
      <c r="B4" s="826" t="s">
        <v>364</v>
      </c>
      <c r="C4" s="827"/>
      <c r="D4" s="827"/>
      <c r="E4" s="827"/>
      <c r="F4" s="827"/>
      <c r="G4" s="827"/>
      <c r="H4" s="827"/>
      <c r="I4" s="827"/>
      <c r="J4" s="828"/>
      <c r="K4" s="6"/>
      <c r="L4" s="6"/>
      <c r="M4" s="6"/>
      <c r="N4" s="6"/>
      <c r="O4" s="6"/>
      <c r="P4" s="6"/>
      <c r="Q4" s="6"/>
      <c r="R4" s="6"/>
      <c r="S4" s="6"/>
      <c r="T4" s="6"/>
      <c r="U4" s="6"/>
      <c r="V4" s="6"/>
    </row>
    <row r="5" spans="1:22" ht="15" thickBot="1" x14ac:dyDescent="0.35">
      <c r="A5" s="6"/>
      <c r="B5" s="91"/>
      <c r="C5" s="91"/>
      <c r="D5" s="91"/>
      <c r="E5" s="64"/>
      <c r="F5" s="64"/>
      <c r="G5" s="64"/>
      <c r="H5" s="6"/>
      <c r="I5" s="6"/>
      <c r="J5" s="6"/>
      <c r="K5" s="6"/>
      <c r="L5" s="6"/>
      <c r="M5" s="6"/>
      <c r="N5" s="6"/>
      <c r="O5" s="6"/>
      <c r="P5" s="6"/>
      <c r="Q5" s="6"/>
      <c r="R5" s="6"/>
      <c r="S5" s="6"/>
      <c r="T5" s="6"/>
      <c r="U5" s="6"/>
      <c r="V5" s="6"/>
    </row>
    <row r="6" spans="1:22" ht="33" customHeight="1" x14ac:dyDescent="0.3">
      <c r="A6" s="6"/>
      <c r="B6" s="852" t="s">
        <v>81</v>
      </c>
      <c r="C6" s="853"/>
      <c r="D6" s="853"/>
      <c r="E6" s="853"/>
      <c r="F6" s="853"/>
      <c r="G6" s="853"/>
      <c r="H6" s="853"/>
      <c r="I6" s="853"/>
      <c r="J6" s="853"/>
      <c r="K6" s="854"/>
    </row>
    <row r="7" spans="1:22" s="272" customFormat="1" ht="51.75" customHeight="1" thickBot="1" x14ac:dyDescent="0.35">
      <c r="A7" s="271"/>
      <c r="B7" s="284" t="s">
        <v>185</v>
      </c>
      <c r="C7" s="273" t="s">
        <v>305</v>
      </c>
      <c r="D7" s="273" t="s">
        <v>286</v>
      </c>
      <c r="E7" s="273" t="s">
        <v>199</v>
      </c>
      <c r="F7" s="274" t="s">
        <v>13</v>
      </c>
      <c r="G7" s="274" t="s">
        <v>186</v>
      </c>
      <c r="H7" s="274" t="s">
        <v>200</v>
      </c>
      <c r="I7" s="274" t="s">
        <v>201</v>
      </c>
      <c r="J7" s="380" t="s">
        <v>258</v>
      </c>
      <c r="K7" s="275" t="s">
        <v>202</v>
      </c>
    </row>
    <row r="8" spans="1:22" x14ac:dyDescent="0.3">
      <c r="A8" s="6"/>
      <c r="B8" s="285" t="s">
        <v>9</v>
      </c>
      <c r="C8" s="249"/>
      <c r="D8" s="249"/>
      <c r="E8" s="99"/>
      <c r="F8" s="99"/>
      <c r="G8" s="99"/>
      <c r="H8" s="286"/>
      <c r="I8" s="99"/>
      <c r="J8" s="381"/>
      <c r="K8" s="351"/>
    </row>
    <row r="9" spans="1:22" x14ac:dyDescent="0.3">
      <c r="A9" s="102"/>
      <c r="B9" s="287" t="s">
        <v>10</v>
      </c>
      <c r="C9" s="249"/>
      <c r="D9" s="249"/>
      <c r="E9" s="37"/>
      <c r="F9" s="37"/>
      <c r="G9" s="37"/>
      <c r="H9" s="249"/>
      <c r="I9" s="37"/>
      <c r="J9" s="382"/>
      <c r="K9" s="352"/>
    </row>
    <row r="10" spans="1:22" x14ac:dyDescent="0.3">
      <c r="A10" s="6"/>
      <c r="B10" s="288" t="s">
        <v>11</v>
      </c>
      <c r="C10" s="249"/>
      <c r="D10" s="249"/>
      <c r="E10" s="99"/>
      <c r="F10" s="99"/>
      <c r="G10" s="99"/>
      <c r="H10" s="286"/>
      <c r="I10" s="99"/>
      <c r="J10" s="381"/>
      <c r="K10" s="351"/>
    </row>
    <row r="11" spans="1:22" x14ac:dyDescent="0.3">
      <c r="A11" s="6"/>
      <c r="B11" s="288" t="s">
        <v>12</v>
      </c>
      <c r="C11" s="249"/>
      <c r="D11" s="249"/>
      <c r="E11" s="37"/>
      <c r="F11" s="37"/>
      <c r="G11" s="37"/>
      <c r="H11" s="249"/>
      <c r="I11" s="37"/>
      <c r="J11" s="382"/>
      <c r="K11" s="352"/>
    </row>
    <row r="12" spans="1:22" x14ac:dyDescent="0.3">
      <c r="A12" s="6"/>
      <c r="B12" s="287" t="s">
        <v>32</v>
      </c>
      <c r="C12" s="249"/>
      <c r="D12" s="249"/>
      <c r="E12" s="99"/>
      <c r="F12" s="99"/>
      <c r="G12" s="99"/>
      <c r="H12" s="286"/>
      <c r="I12" s="99"/>
      <c r="J12" s="381"/>
      <c r="K12" s="351"/>
    </row>
    <row r="13" spans="1:22" x14ac:dyDescent="0.3">
      <c r="A13" s="6"/>
      <c r="B13" s="287" t="s">
        <v>33</v>
      </c>
      <c r="C13" s="249"/>
      <c r="D13" s="249"/>
      <c r="E13" s="37"/>
      <c r="F13" s="37"/>
      <c r="G13" s="37"/>
      <c r="H13" s="249"/>
      <c r="I13" s="37"/>
      <c r="J13" s="382"/>
      <c r="K13" s="352"/>
    </row>
    <row r="14" spans="1:22" x14ac:dyDescent="0.3">
      <c r="A14" s="6"/>
      <c r="B14" s="288" t="s">
        <v>34</v>
      </c>
      <c r="C14" s="249"/>
      <c r="D14" s="249"/>
      <c r="E14" s="37"/>
      <c r="F14" s="37"/>
      <c r="G14" s="37"/>
      <c r="H14" s="249"/>
      <c r="I14" s="37"/>
      <c r="J14" s="382"/>
      <c r="K14" s="352"/>
    </row>
    <row r="15" spans="1:22" x14ac:dyDescent="0.3">
      <c r="A15" s="6"/>
      <c r="B15" s="288" t="s">
        <v>35</v>
      </c>
      <c r="C15" s="249"/>
      <c r="D15" s="249"/>
      <c r="E15" s="37"/>
      <c r="F15" s="37"/>
      <c r="G15" s="37"/>
      <c r="H15" s="249"/>
      <c r="I15" s="37"/>
      <c r="J15" s="382"/>
      <c r="K15" s="352"/>
    </row>
    <row r="16" spans="1:22" x14ac:dyDescent="0.3">
      <c r="A16" s="6"/>
      <c r="B16" s="287" t="s">
        <v>36</v>
      </c>
      <c r="C16" s="249"/>
      <c r="D16" s="249"/>
      <c r="E16" s="37"/>
      <c r="F16" s="37"/>
      <c r="G16" s="37"/>
      <c r="H16" s="249"/>
      <c r="I16" s="37"/>
      <c r="J16" s="382"/>
      <c r="K16" s="352"/>
    </row>
    <row r="17" spans="1:22" x14ac:dyDescent="0.3">
      <c r="A17" s="6"/>
      <c r="B17" s="287" t="s">
        <v>37</v>
      </c>
      <c r="C17" s="249"/>
      <c r="D17" s="249"/>
      <c r="E17" s="37"/>
      <c r="F17" s="37"/>
      <c r="G17" s="37"/>
      <c r="H17" s="249"/>
      <c r="I17" s="37"/>
      <c r="J17" s="382"/>
      <c r="K17" s="352"/>
    </row>
    <row r="18" spans="1:22" x14ac:dyDescent="0.3">
      <c r="A18" s="6"/>
      <c r="B18" s="288" t="s">
        <v>38</v>
      </c>
      <c r="C18" s="249"/>
      <c r="D18" s="249"/>
      <c r="E18" s="37"/>
      <c r="F18" s="37"/>
      <c r="G18" s="37"/>
      <c r="H18" s="249"/>
      <c r="I18" s="37"/>
      <c r="J18" s="382"/>
      <c r="K18" s="352"/>
    </row>
    <row r="19" spans="1:22" x14ac:dyDescent="0.3">
      <c r="A19" s="102"/>
      <c r="B19" s="288" t="s">
        <v>39</v>
      </c>
      <c r="C19" s="249"/>
      <c r="D19" s="249"/>
      <c r="E19" s="37"/>
      <c r="F19" s="37"/>
      <c r="G19" s="37"/>
      <c r="H19" s="249"/>
      <c r="I19" s="37"/>
      <c r="J19" s="382"/>
      <c r="K19" s="352"/>
    </row>
    <row r="20" spans="1:22" x14ac:dyDescent="0.3">
      <c r="A20" s="6"/>
      <c r="B20" s="287" t="s">
        <v>40</v>
      </c>
      <c r="C20" s="249"/>
      <c r="D20" s="249"/>
      <c r="E20" s="37"/>
      <c r="F20" s="37"/>
      <c r="G20" s="37"/>
      <c r="H20" s="249"/>
      <c r="I20" s="37"/>
      <c r="J20" s="382"/>
      <c r="K20" s="352"/>
    </row>
    <row r="21" spans="1:22" x14ac:dyDescent="0.3">
      <c r="A21" s="6"/>
      <c r="B21" s="287" t="s">
        <v>41</v>
      </c>
      <c r="C21" s="249"/>
      <c r="D21" s="249"/>
      <c r="E21" s="37"/>
      <c r="F21" s="37"/>
      <c r="G21" s="37"/>
      <c r="H21" s="249"/>
      <c r="I21" s="37"/>
      <c r="J21" s="382"/>
      <c r="K21" s="352"/>
    </row>
    <row r="22" spans="1:22" x14ac:dyDescent="0.3">
      <c r="A22" s="6"/>
      <c r="B22" s="288" t="s">
        <v>42</v>
      </c>
      <c r="C22" s="249"/>
      <c r="D22" s="249"/>
      <c r="E22" s="37"/>
      <c r="F22" s="37"/>
      <c r="G22" s="37"/>
      <c r="H22" s="249"/>
      <c r="I22" s="37"/>
      <c r="J22" s="382"/>
      <c r="K22" s="352"/>
    </row>
    <row r="23" spans="1:22" x14ac:dyDescent="0.3">
      <c r="A23" s="6"/>
      <c r="B23" s="288" t="s">
        <v>43</v>
      </c>
      <c r="C23" s="249"/>
      <c r="D23" s="249"/>
      <c r="E23" s="37"/>
      <c r="F23" s="37"/>
      <c r="G23" s="37"/>
      <c r="H23" s="249"/>
      <c r="I23" s="37"/>
      <c r="J23" s="382"/>
      <c r="K23" s="352"/>
    </row>
    <row r="24" spans="1:22" x14ac:dyDescent="0.3">
      <c r="A24" s="6"/>
      <c r="B24" s="287" t="s">
        <v>44</v>
      </c>
      <c r="C24" s="249"/>
      <c r="D24" s="249"/>
      <c r="E24" s="37"/>
      <c r="F24" s="37"/>
      <c r="G24" s="37"/>
      <c r="H24" s="249"/>
      <c r="I24" s="37"/>
      <c r="J24" s="382"/>
      <c r="K24" s="352"/>
    </row>
    <row r="25" spans="1:22" x14ac:dyDescent="0.3">
      <c r="A25" s="6"/>
      <c r="B25" s="287" t="s">
        <v>45</v>
      </c>
      <c r="C25" s="249"/>
      <c r="D25" s="249"/>
      <c r="E25" s="37"/>
      <c r="F25" s="37"/>
      <c r="G25" s="37"/>
      <c r="H25" s="249"/>
      <c r="I25" s="37"/>
      <c r="J25" s="382"/>
      <c r="K25" s="352"/>
    </row>
    <row r="26" spans="1:22" x14ac:dyDescent="0.3">
      <c r="A26" s="6"/>
      <c r="B26" s="288" t="s">
        <v>46</v>
      </c>
      <c r="C26" s="249"/>
      <c r="D26" s="249"/>
      <c r="E26" s="37"/>
      <c r="F26" s="37"/>
      <c r="G26" s="37"/>
      <c r="H26" s="249"/>
      <c r="I26" s="37"/>
      <c r="J26" s="382"/>
      <c r="K26" s="352"/>
    </row>
    <row r="27" spans="1:22" x14ac:dyDescent="0.3">
      <c r="A27" s="6"/>
      <c r="B27" s="289" t="s">
        <v>47</v>
      </c>
      <c r="C27" s="249"/>
      <c r="D27" s="249"/>
      <c r="E27" s="270"/>
      <c r="F27" s="270"/>
      <c r="G27" s="270"/>
      <c r="H27" s="290"/>
      <c r="I27" s="270"/>
      <c r="J27" s="383"/>
      <c r="K27" s="353"/>
    </row>
    <row r="28" spans="1:22" ht="23.25" customHeight="1" thickBot="1" x14ac:dyDescent="0.35">
      <c r="A28" s="6"/>
      <c r="B28" s="405" t="s">
        <v>188</v>
      </c>
      <c r="C28" s="520"/>
      <c r="D28" s="281"/>
      <c r="E28" s="281">
        <f>COUNTA(PLTPT[Available in TPT Register?])</f>
        <v>0</v>
      </c>
      <c r="F28" s="281">
        <f>COUNTA(PLTPT[Sex])</f>
        <v>0</v>
      </c>
      <c r="G28" s="281">
        <f>COUNTA(PLTPT[Age 
(&lt;15, 15+)])</f>
        <v>0</v>
      </c>
      <c r="H28" s="281">
        <f>COUNTA(PLTPT[Date TPT Started*])</f>
        <v>0</v>
      </c>
      <c r="I28" s="281">
        <f>COUNTA(PLTPT[New/Existing ART Patient])</f>
        <v>0</v>
      </c>
      <c r="J28" s="281">
        <f>COUNTA(PLTPT[TPT Regimen])</f>
        <v>0</v>
      </c>
      <c r="K28" s="282">
        <f>COUNTA(PLTPT[[TPT Outcome ]])</f>
        <v>0</v>
      </c>
      <c r="L28" s="6"/>
    </row>
    <row r="29" spans="1:22" ht="30" customHeight="1" x14ac:dyDescent="0.3">
      <c r="A29" s="6"/>
      <c r="B29" s="795" t="s">
        <v>120</v>
      </c>
      <c r="C29" s="795"/>
      <c r="D29" s="795"/>
      <c r="E29" s="795"/>
      <c r="F29" s="795"/>
      <c r="G29" s="795"/>
      <c r="H29" s="6"/>
      <c r="I29" s="6"/>
      <c r="J29" s="6"/>
      <c r="K29" s="6"/>
      <c r="L29" s="6"/>
      <c r="M29" s="6"/>
      <c r="N29" s="6"/>
      <c r="O29" s="6"/>
      <c r="P29" s="6"/>
      <c r="Q29" s="6"/>
      <c r="R29" s="6"/>
      <c r="S29" s="6"/>
      <c r="T29" s="6"/>
      <c r="U29" s="6"/>
      <c r="V29" s="6"/>
    </row>
    <row r="30" spans="1:22" hidden="1" x14ac:dyDescent="0.3">
      <c r="A30" s="6"/>
      <c r="B30" s="389"/>
      <c r="E30" s="489" cm="1">
        <f t="array" ref="E30">SUM(COUNTIF(PLTPT[Available in TPT Register?], {"Yes"}))</f>
        <v>0</v>
      </c>
      <c r="F30" s="489" cm="1">
        <f t="array" ref="F30">SUM(COUNTIF(PLTPT[Sex], {"Male","Female"}))</f>
        <v>0</v>
      </c>
      <c r="G30" s="489" cm="1">
        <f t="array" ref="G30">SUM(COUNTIF(PLTPT[Age 
(&lt;15, 15+)], {"0-14","15+"}))</f>
        <v>0</v>
      </c>
      <c r="H30" s="489">
        <f>COUNTA(PLTPT[Date TPT Started*])</f>
        <v>0</v>
      </c>
      <c r="I30" s="489" cm="1">
        <f t="array" ref="I30">SUM(COUNTIF(PLTPT[New/Existing ART Patient], {"Newly enrolled on ART","Already enrolled on ART"}))</f>
        <v>0</v>
      </c>
      <c r="J30" s="489" cm="1">
        <f t="array" ref="J30">SUM(COUNTIF(PLTPT[TPT Regimen], {"3HP","6H","Other"}))</f>
        <v>0</v>
      </c>
      <c r="K30" s="489" cm="1">
        <f t="array" ref="K30">SUM(COUNTIF(PLTPT[[TPT Outcome ]], {"Completed TPT","Developed Active TB","Died","Transferred Out"}))</f>
        <v>0</v>
      </c>
      <c r="L30" s="6"/>
      <c r="M30" s="6"/>
      <c r="N30" s="6"/>
      <c r="O30" s="6"/>
      <c r="P30" s="6"/>
      <c r="Q30" s="6"/>
      <c r="R30" s="6"/>
      <c r="S30" s="6"/>
      <c r="T30" s="6"/>
      <c r="U30" s="6"/>
      <c r="V30" s="6"/>
    </row>
    <row r="31" spans="1:22" x14ac:dyDescent="0.3">
      <c r="A31" s="6"/>
      <c r="H31" s="6"/>
      <c r="I31" s="6"/>
      <c r="J31" s="6"/>
      <c r="K31" s="6"/>
      <c r="L31" s="6"/>
      <c r="M31" s="6"/>
      <c r="N31" s="6"/>
      <c r="O31" s="6"/>
      <c r="P31" s="6"/>
      <c r="Q31" s="6"/>
      <c r="R31" s="6"/>
      <c r="S31" s="6"/>
      <c r="T31" s="6"/>
      <c r="U31" s="6"/>
      <c r="V31" s="6"/>
    </row>
    <row r="32" spans="1:22" x14ac:dyDescent="0.3">
      <c r="A32" s="6"/>
      <c r="B32" s="6"/>
      <c r="C32" s="6"/>
      <c r="D32" s="6"/>
      <c r="E32" s="6"/>
      <c r="F32" s="6"/>
      <c r="G32" s="6"/>
      <c r="H32" s="6"/>
      <c r="I32" s="6"/>
      <c r="J32" s="7"/>
      <c r="K32" s="6"/>
      <c r="L32" s="6"/>
      <c r="M32" s="6"/>
      <c r="N32" s="6"/>
      <c r="O32" s="6"/>
      <c r="P32" s="6"/>
      <c r="Q32" s="6"/>
      <c r="R32" s="6"/>
      <c r="S32" s="6"/>
      <c r="T32" s="6"/>
      <c r="U32" s="6"/>
      <c r="V32" s="6"/>
    </row>
    <row r="33" spans="1:22" x14ac:dyDescent="0.3">
      <c r="A33" s="6"/>
      <c r="B33" s="7"/>
      <c r="C33" s="7"/>
      <c r="D33" s="7"/>
      <c r="E33" s="7"/>
      <c r="F33" s="7"/>
      <c r="G33" s="7"/>
      <c r="H33" s="7"/>
      <c r="I33" s="6"/>
      <c r="J33" s="7"/>
      <c r="K33" s="6"/>
      <c r="L33" s="6"/>
      <c r="M33" s="6"/>
      <c r="N33" s="6"/>
      <c r="O33" s="6"/>
      <c r="P33" s="6"/>
      <c r="Q33" s="6"/>
      <c r="R33" s="6"/>
      <c r="S33" s="6"/>
      <c r="T33" s="6"/>
      <c r="U33" s="6"/>
      <c r="V33" s="6"/>
    </row>
    <row r="34" spans="1:22" x14ac:dyDescent="0.3">
      <c r="A34" s="6"/>
      <c r="B34" s="7"/>
      <c r="C34" s="7"/>
      <c r="D34" s="7"/>
      <c r="E34" s="7"/>
      <c r="F34" s="7"/>
      <c r="G34" s="7"/>
      <c r="H34" s="7"/>
      <c r="I34" s="6"/>
      <c r="J34" s="7"/>
      <c r="K34" s="6"/>
      <c r="L34" s="6"/>
      <c r="M34" s="6"/>
      <c r="N34" s="6"/>
      <c r="O34" s="6"/>
      <c r="P34" s="6"/>
      <c r="Q34" s="6"/>
      <c r="R34" s="6"/>
      <c r="S34" s="6"/>
      <c r="T34" s="6"/>
      <c r="U34" s="6"/>
      <c r="V34" s="6"/>
    </row>
    <row r="35" spans="1:22" x14ac:dyDescent="0.3">
      <c r="A35" s="6"/>
      <c r="B35" s="7"/>
      <c r="C35" s="7"/>
      <c r="D35" s="7"/>
      <c r="E35" s="7"/>
      <c r="F35" s="7"/>
      <c r="G35" s="7"/>
      <c r="H35" s="7"/>
      <c r="I35" s="6"/>
      <c r="J35" s="7"/>
      <c r="K35" s="6"/>
      <c r="L35" s="6"/>
      <c r="M35" s="6"/>
      <c r="N35" s="6"/>
      <c r="O35" s="6"/>
      <c r="P35" s="6"/>
      <c r="Q35" s="6"/>
      <c r="R35" s="6"/>
      <c r="S35" s="6"/>
      <c r="T35" s="6"/>
      <c r="U35" s="6"/>
      <c r="V35" s="6"/>
    </row>
    <row r="36" spans="1:22" x14ac:dyDescent="0.3">
      <c r="A36" s="6"/>
      <c r="H36" s="7"/>
      <c r="I36" s="6"/>
      <c r="J36" s="7"/>
      <c r="K36" s="6"/>
      <c r="L36" s="6"/>
      <c r="M36" s="6"/>
      <c r="N36" s="6"/>
      <c r="O36" s="6"/>
      <c r="P36" s="6"/>
      <c r="Q36" s="6"/>
      <c r="R36" s="6"/>
      <c r="S36" s="6"/>
      <c r="T36" s="6"/>
      <c r="U36" s="6"/>
      <c r="V36" s="6"/>
    </row>
    <row r="37" spans="1:22" x14ac:dyDescent="0.3">
      <c r="A37" s="6"/>
      <c r="H37" s="7"/>
      <c r="I37" s="6"/>
      <c r="J37" s="7"/>
      <c r="K37" s="6"/>
      <c r="L37" s="6"/>
      <c r="M37" s="6"/>
      <c r="N37" s="6"/>
      <c r="O37" s="6"/>
      <c r="P37" s="6"/>
      <c r="Q37" s="6"/>
      <c r="R37" s="6"/>
      <c r="S37" s="6"/>
      <c r="T37" s="6"/>
      <c r="U37" s="6"/>
      <c r="V37" s="6"/>
    </row>
    <row r="38" spans="1:22" x14ac:dyDescent="0.3">
      <c r="A38" s="6"/>
      <c r="H38" s="7"/>
      <c r="I38" s="6"/>
      <c r="J38" s="7"/>
      <c r="K38" s="6"/>
      <c r="L38" s="6"/>
      <c r="M38" s="6"/>
      <c r="N38" s="6"/>
      <c r="O38" s="6"/>
      <c r="P38" s="6"/>
      <c r="Q38" s="6"/>
      <c r="R38" s="6"/>
      <c r="S38" s="6"/>
      <c r="T38" s="6"/>
      <c r="U38" s="6"/>
      <c r="V38" s="6"/>
    </row>
    <row r="39" spans="1:22" x14ac:dyDescent="0.3">
      <c r="A39" s="6"/>
      <c r="B39" s="7"/>
      <c r="C39" s="7"/>
      <c r="D39" s="7"/>
      <c r="E39" s="7"/>
      <c r="F39" s="7"/>
      <c r="G39" s="7"/>
      <c r="H39" s="7"/>
      <c r="I39" s="6"/>
      <c r="J39" s="7"/>
      <c r="K39" s="6"/>
      <c r="L39" s="6"/>
      <c r="M39" s="6"/>
      <c r="N39" s="6"/>
      <c r="O39" s="6"/>
      <c r="P39" s="6"/>
      <c r="Q39" s="6"/>
      <c r="R39" s="6"/>
      <c r="S39" s="6"/>
      <c r="T39" s="6"/>
      <c r="U39" s="6"/>
      <c r="V39" s="6"/>
    </row>
    <row r="40" spans="1:22" x14ac:dyDescent="0.3">
      <c r="A40" s="6"/>
      <c r="B40" s="7"/>
      <c r="C40" s="7"/>
      <c r="D40" s="7"/>
      <c r="E40" s="7"/>
      <c r="F40" s="7"/>
      <c r="G40" s="7"/>
      <c r="H40" s="7"/>
      <c r="I40" s="6"/>
      <c r="J40" s="7"/>
      <c r="K40" s="6"/>
      <c r="L40" s="6"/>
      <c r="M40" s="6"/>
      <c r="N40" s="6"/>
      <c r="O40" s="6"/>
      <c r="P40" s="6"/>
      <c r="Q40" s="6"/>
      <c r="R40" s="6"/>
      <c r="S40" s="6"/>
      <c r="T40" s="6"/>
      <c r="U40" s="6"/>
      <c r="V40" s="6"/>
    </row>
    <row r="41" spans="1:22" x14ac:dyDescent="0.3">
      <c r="A41" s="6"/>
      <c r="B41" s="7"/>
      <c r="C41" s="7"/>
      <c r="D41" s="7"/>
      <c r="E41" s="7"/>
      <c r="F41" s="7"/>
      <c r="G41" s="7"/>
      <c r="H41" s="7"/>
      <c r="I41" s="6"/>
      <c r="J41" s="7"/>
      <c r="K41" s="6"/>
      <c r="L41" s="6"/>
      <c r="M41" s="6"/>
      <c r="N41" s="6"/>
      <c r="O41" s="6"/>
      <c r="P41" s="6"/>
      <c r="Q41" s="6"/>
      <c r="R41" s="6"/>
      <c r="S41" s="6"/>
      <c r="T41" s="6"/>
      <c r="U41" s="6"/>
      <c r="V41" s="6"/>
    </row>
    <row r="42" spans="1:22" x14ac:dyDescent="0.3">
      <c r="A42" s="6"/>
      <c r="B42" s="7"/>
      <c r="C42" s="7"/>
      <c r="D42" s="7"/>
      <c r="E42" s="7"/>
      <c r="F42" s="7"/>
      <c r="G42" s="7"/>
      <c r="H42" s="7"/>
      <c r="I42" s="6"/>
      <c r="J42" s="7"/>
      <c r="K42" s="6"/>
      <c r="L42" s="6"/>
      <c r="M42" s="6"/>
      <c r="N42" s="6"/>
      <c r="O42" s="6"/>
      <c r="P42" s="6"/>
      <c r="Q42" s="6"/>
      <c r="R42" s="6"/>
      <c r="S42" s="6"/>
      <c r="T42" s="6"/>
      <c r="U42" s="6"/>
      <c r="V42" s="6"/>
    </row>
    <row r="43" spans="1:22" x14ac:dyDescent="0.3">
      <c r="A43" s="6"/>
      <c r="B43" s="7"/>
      <c r="C43" s="7"/>
      <c r="D43" s="7"/>
      <c r="E43" s="7"/>
      <c r="F43" s="7"/>
      <c r="G43" s="7"/>
      <c r="H43" s="7"/>
      <c r="I43" s="6"/>
      <c r="J43" s="7"/>
      <c r="K43" s="6"/>
      <c r="L43" s="6"/>
      <c r="M43" s="6"/>
      <c r="N43" s="6"/>
      <c r="O43" s="6"/>
      <c r="P43" s="6"/>
      <c r="Q43" s="6"/>
      <c r="R43" s="6"/>
      <c r="S43" s="6"/>
      <c r="T43" s="6"/>
      <c r="U43" s="6"/>
      <c r="V43" s="6"/>
    </row>
    <row r="44" spans="1:22" x14ac:dyDescent="0.3">
      <c r="A44" s="6"/>
      <c r="B44" s="6"/>
      <c r="C44" s="6"/>
      <c r="D44" s="6"/>
      <c r="E44" s="6"/>
      <c r="F44" s="6"/>
      <c r="G44" s="6"/>
      <c r="H44" s="6"/>
      <c r="I44" s="6"/>
      <c r="J44" s="7"/>
      <c r="K44" s="6"/>
      <c r="L44" s="6"/>
      <c r="M44" s="6"/>
      <c r="N44" s="6"/>
      <c r="O44" s="6"/>
      <c r="P44" s="6"/>
      <c r="Q44" s="6"/>
      <c r="R44" s="6"/>
      <c r="S44" s="6"/>
      <c r="T44" s="6"/>
      <c r="U44" s="6"/>
      <c r="V44" s="6"/>
    </row>
    <row r="45" spans="1:22" x14ac:dyDescent="0.3">
      <c r="A45" s="6"/>
      <c r="B45" s="6"/>
      <c r="C45" s="6"/>
      <c r="D45" s="6"/>
      <c r="E45" s="6"/>
      <c r="F45" s="6"/>
      <c r="G45" s="6"/>
      <c r="H45" s="6"/>
      <c r="I45" s="6"/>
      <c r="J45" s="7"/>
      <c r="K45" s="6"/>
      <c r="L45" s="6"/>
      <c r="M45" s="6"/>
      <c r="N45" s="6"/>
      <c r="O45" s="6"/>
      <c r="P45" s="6"/>
      <c r="Q45" s="6"/>
      <c r="R45" s="6"/>
      <c r="S45" s="6"/>
      <c r="T45" s="6"/>
      <c r="U45" s="6"/>
      <c r="V45" s="6"/>
    </row>
    <row r="46" spans="1:22" x14ac:dyDescent="0.3">
      <c r="A46" s="6"/>
      <c r="B46" s="6"/>
      <c r="C46" s="6"/>
      <c r="D46" s="6"/>
      <c r="E46" s="6"/>
      <c r="F46" s="6"/>
      <c r="G46" s="6"/>
      <c r="H46" s="6"/>
      <c r="I46" s="6"/>
      <c r="J46" s="7"/>
      <c r="K46" s="6"/>
      <c r="L46" s="6"/>
      <c r="M46" s="6"/>
      <c r="N46" s="6"/>
      <c r="O46" s="6"/>
      <c r="P46" s="6"/>
      <c r="Q46" s="6"/>
      <c r="R46" s="6"/>
      <c r="S46" s="6"/>
      <c r="T46" s="6"/>
      <c r="U46" s="6"/>
      <c r="V46" s="6"/>
    </row>
    <row r="47" spans="1:22" x14ac:dyDescent="0.3">
      <c r="B47" s="6"/>
      <c r="C47" s="6"/>
      <c r="D47" s="6"/>
      <c r="E47" s="6"/>
      <c r="F47" s="6"/>
      <c r="G47" s="6"/>
      <c r="H47" s="6"/>
      <c r="I47" s="6"/>
      <c r="J47" s="7"/>
      <c r="K47" s="6"/>
      <c r="L47" s="6"/>
      <c r="M47" s="6"/>
      <c r="N47" s="6"/>
      <c r="O47" s="6"/>
      <c r="P47" s="6"/>
      <c r="Q47" s="6"/>
      <c r="R47" s="6"/>
      <c r="S47" s="6"/>
      <c r="T47" s="6"/>
      <c r="U47" s="6"/>
    </row>
  </sheetData>
  <mergeCells count="5">
    <mergeCell ref="B1:G1"/>
    <mergeCell ref="B29:G29"/>
    <mergeCell ref="B3:J3"/>
    <mergeCell ref="B4:J4"/>
    <mergeCell ref="B6:K6"/>
  </mergeCells>
  <dataValidations count="6">
    <dataValidation type="list" allowBlank="1" showInputMessage="1" showErrorMessage="1" sqref="E8:E27" xr:uid="{00000000-0002-0000-0E00-000000000000}">
      <formula1>"Yes, No"</formula1>
    </dataValidation>
    <dataValidation type="list" allowBlank="1" showInputMessage="1" showErrorMessage="1" sqref="F8:F27" xr:uid="{00000000-0002-0000-0E00-000001000000}">
      <formula1>"Male, Female, Unknown, Blank"</formula1>
    </dataValidation>
    <dataValidation type="list" allowBlank="1" showInputMessage="1" showErrorMessage="1" sqref="G8:G27" xr:uid="{00000000-0002-0000-0E00-000002000000}">
      <formula1>"0-14, 15+, Unknown, Blank"</formula1>
    </dataValidation>
    <dataValidation type="list" allowBlank="1" showInputMessage="1" showErrorMessage="1" sqref="K8:K27" xr:uid="{00000000-0002-0000-0E00-000003000000}">
      <formula1>"Completed TPT, Developed Active TB, Died, Transferred Out, Blank"</formula1>
    </dataValidation>
    <dataValidation type="list" allowBlank="1" showInputMessage="1" showErrorMessage="1" sqref="I8:I27" xr:uid="{00000000-0002-0000-0E00-000004000000}">
      <formula1>"Newly enrolled on ART, Already enrolled on ART, Blank"</formula1>
    </dataValidation>
    <dataValidation type="list" allowBlank="1" showInputMessage="1" showErrorMessage="1" sqref="J8:J27" xr:uid="{00000000-0002-0000-0E00-000005000000}">
      <formula1>"3HP, 6H, Other, Blank"</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3">
        <x14:dataValidation type="date" allowBlank="1" showErrorMessage="1" errorTitle="Check Date" error="This is a retrospective analysis. Dates should be prior to today and in the designated date format. " xr:uid="{00000000-0002-0000-0E00-000006000000}">
          <x14:formula1>
            <xm:f>36526</xm:f>
          </x14:formula1>
          <x14:formula2>
            <xm:f>'1. ASSESSMENT PROFILE'!$F$18</xm:f>
          </x14:formula2>
          <xm:sqref>H8:H27</xm:sqref>
        </x14:dataValidation>
        <x14:dataValidation type="date" allowBlank="1" showInputMessage="1" showErrorMessage="1" errorTitle="Check Date" error="This is a retrospective analysis. Dates should be prior to today and in the designated date format. " xr:uid="{00000000-0002-0000-0E00-000007000000}">
          <x14:formula1>
            <xm:f>36526</xm:f>
          </x14:formula1>
          <x14:formula2>
            <xm:f>'1. ASSESSMENT PROFILE'!$F$18</xm:f>
          </x14:formula2>
          <xm:sqref>D8:D27</xm:sqref>
        </x14:dataValidation>
        <x14:dataValidation type="list" allowBlank="1" showInputMessage="1" showErrorMessage="1" xr:uid="{A325924D-440C-4BD2-BF27-83B99A36A66A}">
          <x14:formula1>
            <xm:f>'1. ASSESSMENT PROFILE'!$D$38:$D$42</xm:f>
          </x14:formula1>
          <xm:sqref>C8:C27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sheetPr>
  <dimension ref="B14:L42"/>
  <sheetViews>
    <sheetView showGridLines="0" topLeftCell="A28" zoomScale="110" zoomScaleNormal="110" workbookViewId="0">
      <selection activeCell="G44" sqref="G44"/>
    </sheetView>
  </sheetViews>
  <sheetFormatPr defaultColWidth="8.88671875" defaultRowHeight="14.4" x14ac:dyDescent="0.3"/>
  <cols>
    <col min="1" max="1" width="2.6640625" style="1" customWidth="1"/>
    <col min="2" max="2" width="10.33203125" style="1" customWidth="1"/>
    <col min="3" max="3" width="9.33203125" style="1" customWidth="1"/>
    <col min="4" max="4" width="11.5546875" style="1" bestFit="1" customWidth="1"/>
    <col min="5" max="5" width="11.109375" style="1" customWidth="1"/>
    <col min="6" max="6" width="8.88671875" style="1" customWidth="1"/>
    <col min="7" max="7" width="10.33203125" style="1" customWidth="1"/>
    <col min="8" max="9" width="8.88671875" style="1"/>
    <col min="10" max="10" width="6.109375" style="1" customWidth="1"/>
    <col min="11" max="16384" width="8.88671875" style="1"/>
  </cols>
  <sheetData>
    <row r="14" spans="2:12" ht="15" thickBot="1" x14ac:dyDescent="0.35"/>
    <row r="15" spans="2:12" ht="17.399999999999999" customHeight="1" thickBot="1" x14ac:dyDescent="0.35">
      <c r="B15" s="4"/>
      <c r="C15" s="576" t="s">
        <v>367</v>
      </c>
      <c r="D15" s="577"/>
      <c r="E15" s="577"/>
      <c r="F15" s="550"/>
      <c r="G15" s="551"/>
      <c r="H15" s="552"/>
      <c r="I15" s="231"/>
      <c r="J15" s="4"/>
      <c r="K15" s="4"/>
      <c r="L15" s="4"/>
    </row>
    <row r="16" spans="2:12" ht="15" customHeight="1" thickBot="1" x14ac:dyDescent="0.35">
      <c r="C16" s="576" t="s">
        <v>107</v>
      </c>
      <c r="D16" s="577"/>
      <c r="E16" s="577"/>
      <c r="F16" s="578" t="s">
        <v>221</v>
      </c>
      <c r="G16" s="579"/>
      <c r="H16" s="580"/>
      <c r="I16" s="4"/>
      <c r="J16" s="4"/>
      <c r="K16" s="4"/>
      <c r="L16" s="4"/>
    </row>
    <row r="17" spans="2:12" ht="15" thickBot="1" x14ac:dyDescent="0.35">
      <c r="C17" s="610" t="s">
        <v>109</v>
      </c>
      <c r="D17" s="611"/>
      <c r="E17" s="615"/>
      <c r="F17" s="616"/>
      <c r="G17" s="617"/>
      <c r="H17" s="618"/>
      <c r="I17" s="119"/>
      <c r="J17" s="119"/>
      <c r="K17" s="4"/>
      <c r="L17" s="4"/>
    </row>
    <row r="18" spans="2:12" hidden="1" x14ac:dyDescent="0.3">
      <c r="C18"/>
      <c r="D18"/>
      <c r="E18" t="s">
        <v>223</v>
      </c>
      <c r="F18" s="334">
        <f ca="1">TODAY()</f>
        <v>45483</v>
      </c>
      <c r="G18" s="333"/>
      <c r="H18" s="333"/>
      <c r="I18" s="119"/>
      <c r="J18" s="119"/>
      <c r="K18" s="4"/>
      <c r="L18" s="4"/>
    </row>
    <row r="19" spans="2:12" ht="28.5" customHeight="1" thickBot="1" x14ac:dyDescent="0.35">
      <c r="B19" s="4"/>
      <c r="J19" s="4"/>
      <c r="K19" s="4"/>
      <c r="L19" s="4"/>
    </row>
    <row r="20" spans="2:12" ht="31.95" customHeight="1" thickBot="1" x14ac:dyDescent="0.35">
      <c r="B20" s="581" t="s">
        <v>21</v>
      </c>
      <c r="C20" s="582"/>
      <c r="D20" s="588"/>
      <c r="E20" s="589"/>
      <c r="F20" s="581" t="s">
        <v>25</v>
      </c>
      <c r="G20" s="601"/>
      <c r="H20" s="588"/>
      <c r="I20" s="589"/>
      <c r="J20" s="14"/>
      <c r="K20" s="4"/>
      <c r="L20" s="4"/>
    </row>
    <row r="21" spans="2:12" ht="31.2" customHeight="1" thickBot="1" x14ac:dyDescent="0.35">
      <c r="B21" s="590" t="s">
        <v>22</v>
      </c>
      <c r="C21" s="620"/>
      <c r="D21" s="583"/>
      <c r="E21" s="584"/>
      <c r="F21" s="581" t="s">
        <v>26</v>
      </c>
      <c r="G21" s="601"/>
      <c r="H21" s="588"/>
      <c r="I21" s="589"/>
      <c r="J21" s="14"/>
      <c r="K21" s="4"/>
      <c r="L21" s="4"/>
    </row>
    <row r="22" spans="2:12" ht="25.95" customHeight="1" thickBot="1" x14ac:dyDescent="0.35">
      <c r="B22" s="600" t="s">
        <v>0</v>
      </c>
      <c r="C22" s="601"/>
      <c r="D22" s="588"/>
      <c r="E22" s="589"/>
      <c r="F22" s="589"/>
      <c r="G22" s="589"/>
      <c r="H22" s="589"/>
      <c r="I22" s="589"/>
      <c r="J22" s="14"/>
      <c r="K22" s="4"/>
      <c r="L22" s="4"/>
    </row>
    <row r="23" spans="2:12" ht="25.95" customHeight="1" thickBot="1" x14ac:dyDescent="0.35">
      <c r="B23" s="619"/>
      <c r="C23" s="619"/>
      <c r="D23" s="619"/>
      <c r="E23" s="619"/>
      <c r="F23" s="619"/>
      <c r="G23" s="4"/>
      <c r="H23" s="4"/>
      <c r="I23" s="4"/>
      <c r="J23" s="4"/>
      <c r="K23" s="4"/>
      <c r="L23" s="4"/>
    </row>
    <row r="24" spans="2:12" ht="28.95" customHeight="1" thickBot="1" x14ac:dyDescent="0.35">
      <c r="B24" s="581" t="s">
        <v>23</v>
      </c>
      <c r="C24" s="582"/>
      <c r="D24" s="583"/>
      <c r="E24" s="584"/>
      <c r="F24" s="590" t="s">
        <v>25</v>
      </c>
      <c r="G24" s="592"/>
      <c r="H24" s="583"/>
      <c r="I24" s="584"/>
      <c r="J24" s="15"/>
      <c r="K24" s="4"/>
      <c r="L24" s="4"/>
    </row>
    <row r="25" spans="2:12" ht="31.95" customHeight="1" thickBot="1" x14ac:dyDescent="0.35">
      <c r="B25" s="590" t="s">
        <v>24</v>
      </c>
      <c r="C25" s="591"/>
      <c r="D25" s="586"/>
      <c r="E25" s="587"/>
      <c r="F25" s="593" t="s">
        <v>27</v>
      </c>
      <c r="G25" s="594"/>
      <c r="H25" s="588"/>
      <c r="I25" s="589"/>
      <c r="J25" s="587"/>
      <c r="K25" s="4"/>
      <c r="L25" s="4"/>
    </row>
    <row r="26" spans="2:12" ht="25.95" customHeight="1" thickBot="1" x14ac:dyDescent="0.35">
      <c r="B26" s="600" t="s">
        <v>0</v>
      </c>
      <c r="C26" s="601"/>
      <c r="D26" s="588"/>
      <c r="E26" s="589"/>
      <c r="F26" s="589"/>
      <c r="G26" s="589"/>
      <c r="H26" s="589"/>
      <c r="I26" s="589"/>
      <c r="J26" s="587"/>
      <c r="K26" s="4"/>
      <c r="L26" s="4"/>
    </row>
    <row r="27" spans="2:12" ht="25.95" customHeight="1" thickBot="1" x14ac:dyDescent="0.35">
      <c r="B27" s="3"/>
      <c r="C27" s="3"/>
      <c r="D27" s="3"/>
      <c r="E27" s="3"/>
      <c r="F27" s="3"/>
      <c r="G27" s="4"/>
      <c r="H27" s="4"/>
      <c r="I27" s="4"/>
      <c r="J27" s="4"/>
      <c r="K27" s="4"/>
      <c r="L27" s="4"/>
    </row>
    <row r="28" spans="2:12" s="2" customFormat="1" ht="31.2" customHeight="1" thickBot="1" x14ac:dyDescent="0.35">
      <c r="B28" s="581" t="s">
        <v>28</v>
      </c>
      <c r="C28" s="601"/>
      <c r="D28" s="597"/>
      <c r="E28" s="599"/>
      <c r="F28" s="593" t="s">
        <v>25</v>
      </c>
      <c r="G28" s="594"/>
      <c r="H28" s="588"/>
      <c r="I28" s="589"/>
      <c r="J28" s="587"/>
      <c r="K28" s="3"/>
      <c r="L28" s="3"/>
    </row>
    <row r="29" spans="2:12" s="2" customFormat="1" ht="31.2" customHeight="1" thickBot="1" x14ac:dyDescent="0.35">
      <c r="B29" s="590" t="s">
        <v>24</v>
      </c>
      <c r="C29" s="591"/>
      <c r="D29" s="583"/>
      <c r="E29" s="585"/>
      <c r="F29" s="602" t="s">
        <v>27</v>
      </c>
      <c r="G29" s="603"/>
      <c r="H29" s="588"/>
      <c r="I29" s="589"/>
      <c r="J29" s="587"/>
      <c r="K29" s="3"/>
      <c r="L29" s="3"/>
    </row>
    <row r="30" spans="2:12" s="2" customFormat="1" ht="19.95" customHeight="1" thickBot="1" x14ac:dyDescent="0.35">
      <c r="B30" s="600" t="s">
        <v>0</v>
      </c>
      <c r="C30" s="601"/>
      <c r="D30" s="588"/>
      <c r="E30" s="589"/>
      <c r="F30" s="589"/>
      <c r="G30" s="589"/>
      <c r="H30" s="589"/>
      <c r="I30" s="589"/>
      <c r="J30" s="587"/>
      <c r="K30" s="3"/>
      <c r="L30" s="3"/>
    </row>
    <row r="31" spans="2:12" s="2" customFormat="1" ht="19.95" customHeight="1" thickBot="1" x14ac:dyDescent="0.35">
      <c r="B31" s="3"/>
      <c r="C31" s="3"/>
      <c r="D31" s="3"/>
      <c r="E31" s="3"/>
      <c r="F31" s="3"/>
      <c r="G31" s="3"/>
      <c r="H31" s="3"/>
      <c r="I31" s="3"/>
      <c r="J31" s="3"/>
      <c r="K31" s="3"/>
      <c r="L31" s="3"/>
    </row>
    <row r="32" spans="2:12" ht="15" thickBot="1" x14ac:dyDescent="0.35">
      <c r="B32" s="595" t="s">
        <v>29</v>
      </c>
      <c r="C32" s="596"/>
      <c r="D32" s="597"/>
      <c r="E32" s="598"/>
      <c r="F32" s="598"/>
      <c r="G32" s="598"/>
      <c r="H32" s="598"/>
      <c r="I32" s="598"/>
      <c r="J32" s="599"/>
    </row>
    <row r="33" spans="2:10" ht="15" thickBot="1" x14ac:dyDescent="0.35">
      <c r="B33" s="595" t="s">
        <v>30</v>
      </c>
      <c r="C33" s="596"/>
      <c r="D33" s="597"/>
      <c r="E33" s="598"/>
      <c r="F33" s="598"/>
      <c r="G33" s="598"/>
      <c r="H33" s="598"/>
      <c r="I33" s="598"/>
      <c r="J33" s="599"/>
    </row>
    <row r="34" spans="2:10" ht="15" thickBot="1" x14ac:dyDescent="0.35">
      <c r="B34" s="595" t="s">
        <v>31</v>
      </c>
      <c r="C34" s="596"/>
      <c r="D34" s="597"/>
      <c r="E34" s="598"/>
      <c r="F34" s="598"/>
      <c r="G34" s="598"/>
      <c r="H34" s="598"/>
      <c r="I34" s="598"/>
      <c r="J34" s="599"/>
    </row>
    <row r="35" spans="2:10" ht="15" thickBot="1" x14ac:dyDescent="0.35">
      <c r="B35" s="4"/>
      <c r="C35" s="4"/>
      <c r="D35" s="4"/>
      <c r="E35" s="4"/>
      <c r="F35" s="4"/>
      <c r="G35" s="4"/>
      <c r="H35" s="4"/>
      <c r="I35" s="4"/>
      <c r="J35" s="4"/>
    </row>
    <row r="36" spans="2:10" ht="65.400000000000006" customHeight="1" thickBot="1" x14ac:dyDescent="0.35">
      <c r="B36" s="610" t="s">
        <v>108</v>
      </c>
      <c r="C36" s="611"/>
      <c r="D36" s="612"/>
      <c r="E36" s="613"/>
      <c r="F36" s="613"/>
      <c r="G36" s="613"/>
      <c r="H36" s="613"/>
      <c r="I36" s="613"/>
      <c r="J36" s="614"/>
    </row>
    <row r="37" spans="2:10" ht="15" thickBot="1" x14ac:dyDescent="0.35"/>
    <row r="38" spans="2:10" ht="15" customHeight="1" thickBot="1" x14ac:dyDescent="0.35">
      <c r="B38" s="604" t="s">
        <v>359</v>
      </c>
      <c r="C38" s="605"/>
      <c r="D38" s="453"/>
    </row>
    <row r="39" spans="2:10" ht="15" thickBot="1" x14ac:dyDescent="0.35">
      <c r="B39" s="606"/>
      <c r="C39" s="607"/>
      <c r="D39" s="453"/>
    </row>
    <row r="40" spans="2:10" ht="15" thickBot="1" x14ac:dyDescent="0.35">
      <c r="B40" s="606"/>
      <c r="C40" s="607"/>
      <c r="D40" s="453"/>
    </row>
    <row r="41" spans="2:10" ht="15" thickBot="1" x14ac:dyDescent="0.35">
      <c r="B41" s="606"/>
      <c r="C41" s="607"/>
      <c r="D41" s="453"/>
    </row>
    <row r="42" spans="2:10" ht="15" thickBot="1" x14ac:dyDescent="0.35">
      <c r="B42" s="608"/>
      <c r="C42" s="609"/>
      <c r="D42" s="453"/>
    </row>
  </sheetData>
  <sheetProtection selectLockedCells="1"/>
  <mergeCells count="45">
    <mergeCell ref="B38:C42"/>
    <mergeCell ref="B36:C36"/>
    <mergeCell ref="D36:J36"/>
    <mergeCell ref="C17:E17"/>
    <mergeCell ref="C16:E16"/>
    <mergeCell ref="F17:H17"/>
    <mergeCell ref="B23:F23"/>
    <mergeCell ref="D22:I22"/>
    <mergeCell ref="B22:C22"/>
    <mergeCell ref="F20:G20"/>
    <mergeCell ref="H20:I20"/>
    <mergeCell ref="B20:C20"/>
    <mergeCell ref="D20:E20"/>
    <mergeCell ref="F21:G21"/>
    <mergeCell ref="H21:I21"/>
    <mergeCell ref="B21:C21"/>
    <mergeCell ref="B30:C30"/>
    <mergeCell ref="F29:G29"/>
    <mergeCell ref="B26:C26"/>
    <mergeCell ref="B28:C28"/>
    <mergeCell ref="D28:E28"/>
    <mergeCell ref="F28:G28"/>
    <mergeCell ref="D30:J30"/>
    <mergeCell ref="B32:C32"/>
    <mergeCell ref="B33:C33"/>
    <mergeCell ref="B34:C34"/>
    <mergeCell ref="D32:J32"/>
    <mergeCell ref="D33:J33"/>
    <mergeCell ref="D34:J34"/>
    <mergeCell ref="C15:E15"/>
    <mergeCell ref="F16:H16"/>
    <mergeCell ref="B24:C24"/>
    <mergeCell ref="D24:E24"/>
    <mergeCell ref="D29:E29"/>
    <mergeCell ref="D25:E25"/>
    <mergeCell ref="H25:J25"/>
    <mergeCell ref="D26:J26"/>
    <mergeCell ref="H28:J28"/>
    <mergeCell ref="H29:J29"/>
    <mergeCell ref="B25:C25"/>
    <mergeCell ref="B29:C29"/>
    <mergeCell ref="F24:G24"/>
    <mergeCell ref="H24:I24"/>
    <mergeCell ref="F25:G25"/>
    <mergeCell ref="D21:E21"/>
  </mergeCells>
  <dataValidations count="1">
    <dataValidation type="list" allowBlank="1" showInputMessage="1" showErrorMessage="1" sqref="F16:H16" xr:uid="{00000000-0002-0000-0100-000000000000}">
      <formula1>"Entry, Follow-up"</formula1>
    </dataValidation>
  </dataValidations>
  <pageMargins left="0.7" right="0.7" top="0.75" bottom="0.75" header="0.3" footer="0.3"/>
  <pageSetup orientation="portrait" r:id="rId1"/>
  <ignoredErrors>
    <ignoredError sqref="F1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tint="-0.499984740745262"/>
  </sheetPr>
  <dimension ref="B1:Q134"/>
  <sheetViews>
    <sheetView showGridLines="0" zoomScaleNormal="100" workbookViewId="0"/>
  </sheetViews>
  <sheetFormatPr defaultColWidth="8.88671875" defaultRowHeight="14.4" x14ac:dyDescent="0.3"/>
  <cols>
    <col min="1" max="2" width="2.5546875" style="45" customWidth="1"/>
    <col min="3" max="3" width="3" style="45" customWidth="1"/>
    <col min="4" max="7" width="13.6640625" style="6" customWidth="1"/>
    <col min="8" max="8" width="13.6640625" style="45" customWidth="1"/>
    <col min="9" max="9" width="3.109375" style="45" customWidth="1"/>
    <col min="10" max="10" width="4.44140625" style="45" customWidth="1"/>
    <col min="11" max="16" width="13.5546875" style="45" customWidth="1"/>
    <col min="17" max="23" width="14.44140625" style="45" customWidth="1"/>
    <col min="24" max="24" width="14.33203125" style="45" customWidth="1"/>
    <col min="25" max="25" width="18.33203125" style="45" customWidth="1"/>
    <col min="26" max="26" width="24.33203125" style="45" customWidth="1"/>
    <col min="27" max="38" width="8.6640625" style="45" customWidth="1"/>
    <col min="39" max="39" width="8.88671875" style="45"/>
    <col min="40" max="40" width="9.5546875" style="45" customWidth="1"/>
    <col min="41" max="41" width="25" style="45" customWidth="1"/>
    <col min="42" max="42" width="23.6640625" style="45" customWidth="1"/>
    <col min="43" max="43" width="24.44140625" style="45" customWidth="1"/>
    <col min="44" max="44" width="23.88671875" style="45" customWidth="1"/>
    <col min="45" max="45" width="26.109375" style="45" customWidth="1"/>
    <col min="46" max="16384" width="8.88671875" style="45"/>
  </cols>
  <sheetData>
    <row r="1" spans="2:16" s="52" customFormat="1" ht="23.4" x14ac:dyDescent="0.3">
      <c r="B1" s="553" t="str">
        <f>CONCATENATE("FACILITY NAME: ", '1. ASSESSMENT PROFILE'!$F$15)</f>
        <v xml:space="preserve">FACILITY NAME: </v>
      </c>
      <c r="D1" s="51"/>
      <c r="E1" s="51"/>
      <c r="F1" s="51"/>
      <c r="G1" s="51"/>
    </row>
    <row r="2" spans="2:16" customFormat="1" ht="15" thickBot="1" x14ac:dyDescent="0.35">
      <c r="H2" s="112"/>
      <c r="I2" s="112"/>
    </row>
    <row r="3" spans="2:16" customFormat="1" ht="21" customHeight="1" x14ac:dyDescent="0.3">
      <c r="C3" s="623" t="s">
        <v>372</v>
      </c>
      <c r="D3" s="624"/>
      <c r="E3" s="624"/>
      <c r="F3" s="624"/>
      <c r="G3" s="624"/>
      <c r="H3" s="624"/>
      <c r="I3" s="625"/>
      <c r="K3" s="623" t="s">
        <v>374</v>
      </c>
      <c r="L3" s="624"/>
      <c r="M3" s="624"/>
      <c r="N3" s="624"/>
      <c r="O3" s="624"/>
      <c r="P3" s="625"/>
    </row>
    <row r="4" spans="2:16" customFormat="1" x14ac:dyDescent="0.3">
      <c r="C4" s="554"/>
      <c r="D4" s="112"/>
      <c r="E4" s="112"/>
      <c r="F4" s="112"/>
      <c r="G4" s="112"/>
      <c r="H4" s="112"/>
      <c r="I4" s="555"/>
      <c r="K4" s="554"/>
      <c r="L4" s="112"/>
      <c r="M4" s="112"/>
      <c r="N4" s="112"/>
      <c r="O4" s="112"/>
      <c r="P4" s="555"/>
    </row>
    <row r="5" spans="2:16" customFormat="1" ht="14.4" customHeight="1" x14ac:dyDescent="0.3">
      <c r="C5" s="554"/>
      <c r="D5" s="626" t="s">
        <v>373</v>
      </c>
      <c r="E5" s="112"/>
      <c r="F5" s="626" t="s">
        <v>377</v>
      </c>
      <c r="G5" s="112"/>
      <c r="H5" s="626" t="s">
        <v>376</v>
      </c>
      <c r="I5" s="555"/>
      <c r="K5" s="554"/>
      <c r="L5" s="112"/>
      <c r="M5" s="112"/>
      <c r="N5" s="112"/>
      <c r="O5" s="112"/>
      <c r="P5" s="555"/>
    </row>
    <row r="6" spans="2:16" customFormat="1" ht="14.4" customHeight="1" x14ac:dyDescent="0.3">
      <c r="C6" s="554"/>
      <c r="D6" s="626"/>
      <c r="E6" s="112"/>
      <c r="F6" s="626"/>
      <c r="G6" s="112"/>
      <c r="H6" s="626"/>
      <c r="I6" s="555"/>
      <c r="K6" s="554"/>
      <c r="L6" s="112"/>
      <c r="M6" s="112"/>
      <c r="N6" s="112"/>
      <c r="O6" s="112"/>
      <c r="P6" s="555"/>
    </row>
    <row r="7" spans="2:16" customFormat="1" ht="14.4" customHeight="1" x14ac:dyDescent="0.3">
      <c r="C7" s="554"/>
      <c r="D7" s="626"/>
      <c r="E7" s="112"/>
      <c r="F7" s="626"/>
      <c r="G7" s="112"/>
      <c r="H7" s="626"/>
      <c r="I7" s="555"/>
      <c r="K7" s="554"/>
      <c r="L7" s="112"/>
      <c r="M7" s="112"/>
      <c r="N7" s="112"/>
      <c r="O7" s="112"/>
      <c r="P7" s="555"/>
    </row>
    <row r="8" spans="2:16" customFormat="1" ht="14.4" customHeight="1" x14ac:dyDescent="0.3">
      <c r="C8" s="554"/>
      <c r="D8" s="621">
        <f>SUM(AggPresumptiveP1[[#Totals],[Total Presumptive TB]], AggPresumptiveP2[[#Totals],[Total Presumptive TB]], AggPresumptiveP3[[#Totals],[Total Presumptive TB]], AggPresumptiveP4[[#Totals],[Total Presumptive TB]], AggPresumptiveP5[[#Totals],[Total Presumptive TB]])</f>
        <v>0</v>
      </c>
      <c r="E8" s="112"/>
      <c r="F8" s="622" t="e">
        <f>'4.3 TABLE SUMMARIES'!$I$7/'4.3 TABLE SUMMARIES'!$I$5</f>
        <v>#DIV/0!</v>
      </c>
      <c r="G8" s="112"/>
      <c r="H8" s="622" t="e">
        <f>'4.3 TABLE SUMMARIES'!$I$24/'4.3 TABLE SUMMARIES'!$I$5</f>
        <v>#DIV/0!</v>
      </c>
      <c r="I8" s="555"/>
      <c r="K8" s="554"/>
      <c r="L8" s="112"/>
      <c r="M8" s="112"/>
      <c r="N8" s="112"/>
      <c r="O8" s="112"/>
      <c r="P8" s="555"/>
    </row>
    <row r="9" spans="2:16" customFormat="1" ht="14.4" customHeight="1" x14ac:dyDescent="0.3">
      <c r="C9" s="554"/>
      <c r="D9" s="621"/>
      <c r="E9" s="112"/>
      <c r="F9" s="622"/>
      <c r="G9" s="112"/>
      <c r="H9" s="622"/>
      <c r="I9" s="555"/>
      <c r="K9" s="554"/>
      <c r="L9" s="112"/>
      <c r="M9" s="112"/>
      <c r="N9" s="112"/>
      <c r="O9" s="112"/>
      <c r="P9" s="555"/>
    </row>
    <row r="10" spans="2:16" customFormat="1" ht="14.4" customHeight="1" x14ac:dyDescent="0.3">
      <c r="C10" s="554"/>
      <c r="D10" s="621"/>
      <c r="E10" s="112"/>
      <c r="F10" s="622"/>
      <c r="G10" s="112"/>
      <c r="H10" s="622"/>
      <c r="I10" s="555"/>
      <c r="K10" s="554"/>
      <c r="L10" s="112"/>
      <c r="M10" s="112"/>
      <c r="N10" s="112"/>
      <c r="O10" s="112"/>
      <c r="P10" s="555"/>
    </row>
    <row r="11" spans="2:16" customFormat="1" ht="14.4" customHeight="1" x14ac:dyDescent="0.3">
      <c r="C11" s="554"/>
      <c r="D11" s="621"/>
      <c r="E11" s="112"/>
      <c r="F11" s="622"/>
      <c r="G11" s="112"/>
      <c r="H11" s="622"/>
      <c r="I11" s="555"/>
      <c r="K11" s="554"/>
      <c r="L11" s="112"/>
      <c r="M11" s="112"/>
      <c r="N11" s="112"/>
      <c r="O11" s="112"/>
      <c r="P11" s="555"/>
    </row>
    <row r="12" spans="2:16" customFormat="1" ht="14.4" customHeight="1" x14ac:dyDescent="0.3">
      <c r="C12" s="554"/>
      <c r="E12" s="112"/>
      <c r="I12" s="555"/>
      <c r="K12" s="554"/>
      <c r="L12" s="112"/>
      <c r="M12" s="112"/>
      <c r="N12" s="112"/>
      <c r="O12" s="112"/>
      <c r="P12" s="555"/>
    </row>
    <row r="13" spans="2:16" customFormat="1" ht="14.4" customHeight="1" x14ac:dyDescent="0.3">
      <c r="C13" s="554"/>
      <c r="D13" s="112"/>
      <c r="E13" s="112"/>
      <c r="F13" s="112"/>
      <c r="G13" s="112"/>
      <c r="H13" s="112"/>
      <c r="I13" s="555"/>
      <c r="K13" s="554"/>
      <c r="L13" s="112"/>
      <c r="M13" s="112"/>
      <c r="N13" s="112"/>
      <c r="O13" s="112"/>
      <c r="P13" s="555"/>
    </row>
    <row r="14" spans="2:16" customFormat="1" x14ac:dyDescent="0.3">
      <c r="C14" s="554"/>
      <c r="D14" s="112"/>
      <c r="E14" s="112"/>
      <c r="F14" s="112"/>
      <c r="G14" s="112"/>
      <c r="H14" s="112"/>
      <c r="I14" s="555"/>
      <c r="K14" s="554"/>
      <c r="L14" s="112"/>
      <c r="M14" s="112"/>
      <c r="N14" s="112"/>
      <c r="O14" s="112"/>
      <c r="P14" s="555"/>
    </row>
    <row r="15" spans="2:16" customFormat="1" x14ac:dyDescent="0.3">
      <c r="C15" s="554"/>
      <c r="D15" s="112"/>
      <c r="E15" s="112"/>
      <c r="F15" s="112"/>
      <c r="G15" s="112"/>
      <c r="H15" s="112"/>
      <c r="I15" s="555"/>
      <c r="K15" s="554"/>
      <c r="L15" s="112"/>
      <c r="M15" s="112"/>
      <c r="N15" s="112"/>
      <c r="O15" s="112"/>
      <c r="P15" s="555"/>
    </row>
    <row r="16" spans="2:16" customFormat="1" x14ac:dyDescent="0.3">
      <c r="C16" s="554"/>
      <c r="D16" s="112"/>
      <c r="E16" s="112"/>
      <c r="F16" s="112"/>
      <c r="G16" s="112"/>
      <c r="H16" s="112"/>
      <c r="I16" s="555"/>
      <c r="K16" s="554"/>
      <c r="L16" s="112"/>
      <c r="M16" s="112"/>
      <c r="N16" s="112"/>
      <c r="O16" s="112"/>
      <c r="P16" s="555"/>
    </row>
    <row r="17" spans="3:16" customFormat="1" x14ac:dyDescent="0.3">
      <c r="C17" s="554"/>
      <c r="D17" s="112"/>
      <c r="E17" s="112"/>
      <c r="F17" s="112"/>
      <c r="G17" s="112"/>
      <c r="H17" s="112"/>
      <c r="I17" s="555"/>
      <c r="K17" s="554"/>
      <c r="L17" s="112"/>
      <c r="M17" s="112"/>
      <c r="N17" s="112"/>
      <c r="O17" s="112"/>
      <c r="P17" s="555"/>
    </row>
    <row r="18" spans="3:16" customFormat="1" ht="15" thickBot="1" x14ac:dyDescent="0.35">
      <c r="C18" s="554"/>
      <c r="D18" s="112"/>
      <c r="E18" s="112"/>
      <c r="F18" s="112"/>
      <c r="G18" s="112"/>
      <c r="H18" s="112"/>
      <c r="I18" s="555"/>
      <c r="J18" s="555"/>
      <c r="K18" s="557"/>
      <c r="L18" s="558"/>
      <c r="M18" s="558"/>
      <c r="N18" s="558"/>
      <c r="O18" s="558"/>
      <c r="P18" s="559"/>
    </row>
    <row r="19" spans="3:16" customFormat="1" ht="15" thickBot="1" x14ac:dyDescent="0.35">
      <c r="C19" s="554"/>
      <c r="D19" s="112"/>
      <c r="E19" s="112"/>
      <c r="F19" s="112"/>
      <c r="G19" s="112"/>
      <c r="H19" s="112"/>
      <c r="I19" s="555"/>
    </row>
    <row r="20" spans="3:16" customFormat="1" ht="21" customHeight="1" x14ac:dyDescent="0.3">
      <c r="C20" s="554"/>
      <c r="D20" s="112"/>
      <c r="E20" s="112"/>
      <c r="F20" s="112"/>
      <c r="G20" s="112"/>
      <c r="H20" s="112"/>
      <c r="I20" s="555"/>
      <c r="K20" s="623" t="s">
        <v>375</v>
      </c>
      <c r="L20" s="624"/>
      <c r="M20" s="624"/>
      <c r="N20" s="624"/>
      <c r="O20" s="624"/>
      <c r="P20" s="625"/>
    </row>
    <row r="21" spans="3:16" customFormat="1" x14ac:dyDescent="0.3">
      <c r="C21" s="554"/>
      <c r="D21" s="112"/>
      <c r="E21" s="112"/>
      <c r="F21" s="112"/>
      <c r="G21" s="112"/>
      <c r="H21" s="112"/>
      <c r="I21" s="555"/>
      <c r="K21" s="554"/>
      <c r="L21" s="112"/>
      <c r="M21" s="112"/>
      <c r="N21" s="112"/>
      <c r="O21" s="112"/>
      <c r="P21" s="555"/>
    </row>
    <row r="22" spans="3:16" customFormat="1" x14ac:dyDescent="0.3">
      <c r="C22" s="554"/>
      <c r="D22" s="112"/>
      <c r="E22" s="112"/>
      <c r="F22" s="112"/>
      <c r="G22" s="112"/>
      <c r="H22" s="112"/>
      <c r="I22" s="555"/>
      <c r="K22" s="554"/>
      <c r="L22" s="112"/>
      <c r="M22" s="112"/>
      <c r="N22" s="112"/>
      <c r="O22" s="112"/>
      <c r="P22" s="555"/>
    </row>
    <row r="23" spans="3:16" customFormat="1" x14ac:dyDescent="0.3">
      <c r="C23" s="554"/>
      <c r="D23" s="112"/>
      <c r="E23" s="112"/>
      <c r="F23" s="112"/>
      <c r="G23" s="112"/>
      <c r="H23" s="112"/>
      <c r="I23" s="555"/>
      <c r="K23" s="554"/>
      <c r="L23" s="112"/>
      <c r="M23" s="112"/>
      <c r="N23" s="112"/>
      <c r="O23" s="112"/>
      <c r="P23" s="555"/>
    </row>
    <row r="24" spans="3:16" customFormat="1" x14ac:dyDescent="0.3">
      <c r="C24" s="554"/>
      <c r="D24" s="112"/>
      <c r="E24" s="112"/>
      <c r="F24" s="112"/>
      <c r="G24" s="112"/>
      <c r="H24" s="112"/>
      <c r="I24" s="555"/>
      <c r="K24" s="554"/>
      <c r="L24" s="112"/>
      <c r="M24" s="112"/>
      <c r="N24" s="112"/>
      <c r="O24" s="112"/>
      <c r="P24" s="555"/>
    </row>
    <row r="25" spans="3:16" customFormat="1" x14ac:dyDescent="0.3">
      <c r="C25" s="554"/>
      <c r="D25" s="112"/>
      <c r="E25" s="112"/>
      <c r="F25" s="112"/>
      <c r="G25" s="112"/>
      <c r="H25" s="112"/>
      <c r="I25" s="555"/>
      <c r="K25" s="554"/>
      <c r="L25" s="112"/>
      <c r="M25" s="112"/>
      <c r="N25" s="112"/>
      <c r="O25" s="112"/>
      <c r="P25" s="555"/>
    </row>
    <row r="26" spans="3:16" customFormat="1" x14ac:dyDescent="0.3">
      <c r="C26" s="554"/>
      <c r="D26" s="112"/>
      <c r="E26" s="112"/>
      <c r="F26" s="112"/>
      <c r="G26" s="112"/>
      <c r="H26" s="112"/>
      <c r="I26" s="555"/>
      <c r="K26" s="554"/>
      <c r="L26" s="112"/>
      <c r="M26" s="112"/>
      <c r="N26" s="112"/>
      <c r="O26" s="112"/>
      <c r="P26" s="555"/>
    </row>
    <row r="27" spans="3:16" customFormat="1" x14ac:dyDescent="0.3">
      <c r="C27" s="554"/>
      <c r="D27" s="112"/>
      <c r="E27" s="112"/>
      <c r="F27" s="112"/>
      <c r="G27" s="112"/>
      <c r="H27" s="112"/>
      <c r="I27" s="555"/>
      <c r="K27" s="554"/>
      <c r="L27" s="112"/>
      <c r="M27" s="112"/>
      <c r="N27" s="112"/>
      <c r="O27" s="112"/>
      <c r="P27" s="555"/>
    </row>
    <row r="28" spans="3:16" customFormat="1" x14ac:dyDescent="0.3">
      <c r="C28" s="554"/>
      <c r="D28" s="112"/>
      <c r="E28" s="112"/>
      <c r="F28" s="112"/>
      <c r="G28" s="112"/>
      <c r="H28" s="112"/>
      <c r="I28" s="555"/>
      <c r="K28" s="554"/>
      <c r="L28" s="112"/>
      <c r="M28" s="112"/>
      <c r="N28" s="112"/>
      <c r="O28" s="112"/>
      <c r="P28" s="555"/>
    </row>
    <row r="29" spans="3:16" customFormat="1" x14ac:dyDescent="0.3">
      <c r="C29" s="554"/>
      <c r="D29" s="112"/>
      <c r="E29" s="112"/>
      <c r="F29" s="112"/>
      <c r="G29" s="112"/>
      <c r="H29" s="112"/>
      <c r="I29" s="555"/>
      <c r="K29" s="554"/>
      <c r="L29" s="112"/>
      <c r="M29" s="112"/>
      <c r="N29" s="112"/>
      <c r="O29" s="112"/>
      <c r="P29" s="555"/>
    </row>
    <row r="30" spans="3:16" customFormat="1" x14ac:dyDescent="0.3">
      <c r="C30" s="554"/>
      <c r="D30" s="112"/>
      <c r="E30" s="112"/>
      <c r="F30" s="112"/>
      <c r="G30" s="112"/>
      <c r="H30" s="112"/>
      <c r="I30" s="555"/>
      <c r="K30" s="554"/>
      <c r="L30" s="112"/>
      <c r="M30" s="112"/>
      <c r="N30" s="112"/>
      <c r="O30" s="112"/>
      <c r="P30" s="555"/>
    </row>
    <row r="31" spans="3:16" customFormat="1" x14ac:dyDescent="0.3">
      <c r="C31" s="556"/>
      <c r="D31" s="112"/>
      <c r="E31" s="112"/>
      <c r="F31" s="112"/>
      <c r="G31" s="112"/>
      <c r="H31" s="112"/>
      <c r="I31" s="555"/>
      <c r="K31" s="554"/>
      <c r="L31" s="112"/>
      <c r="M31" s="112"/>
      <c r="N31" s="112"/>
      <c r="O31" s="112"/>
      <c r="P31" s="555"/>
    </row>
    <row r="32" spans="3:16" customFormat="1" x14ac:dyDescent="0.3">
      <c r="C32" s="554"/>
      <c r="D32" s="112"/>
      <c r="E32" s="112"/>
      <c r="F32" s="112"/>
      <c r="G32" s="112"/>
      <c r="H32" s="112"/>
      <c r="I32" s="555"/>
      <c r="K32" s="554"/>
      <c r="L32" s="112"/>
      <c r="M32" s="112"/>
      <c r="N32" s="112"/>
      <c r="O32" s="112"/>
      <c r="P32" s="555"/>
    </row>
    <row r="33" spans="3:16" customFormat="1" x14ac:dyDescent="0.3">
      <c r="C33" s="554"/>
      <c r="D33" s="112"/>
      <c r="E33" s="112"/>
      <c r="F33" s="112"/>
      <c r="G33" s="112"/>
      <c r="H33" s="112"/>
      <c r="I33" s="555"/>
      <c r="K33" s="554"/>
      <c r="L33" s="112"/>
      <c r="M33" s="112"/>
      <c r="N33" s="112"/>
      <c r="O33" s="112"/>
      <c r="P33" s="555"/>
    </row>
    <row r="34" spans="3:16" customFormat="1" x14ac:dyDescent="0.3">
      <c r="C34" s="554"/>
      <c r="D34" s="112"/>
      <c r="E34" s="112"/>
      <c r="F34" s="112"/>
      <c r="G34" s="112"/>
      <c r="H34" s="112"/>
      <c r="I34" s="555"/>
      <c r="K34" s="554"/>
      <c r="L34" s="112"/>
      <c r="M34" s="112"/>
      <c r="N34" s="112"/>
      <c r="O34" s="112"/>
      <c r="P34" s="555"/>
    </row>
    <row r="35" spans="3:16" customFormat="1" ht="15" thickBot="1" x14ac:dyDescent="0.35">
      <c r="C35" s="557"/>
      <c r="D35" s="558"/>
      <c r="E35" s="558"/>
      <c r="F35" s="558"/>
      <c r="G35" s="558"/>
      <c r="H35" s="558"/>
      <c r="I35" s="559"/>
      <c r="K35" s="557"/>
      <c r="L35" s="558"/>
      <c r="M35" s="558"/>
      <c r="N35" s="558"/>
      <c r="O35" s="558"/>
      <c r="P35" s="559"/>
    </row>
    <row r="36" spans="3:16" customFormat="1" x14ac:dyDescent="0.3"/>
    <row r="37" spans="3:16" customFormat="1" x14ac:dyDescent="0.3"/>
    <row r="38" spans="3:16" customFormat="1" x14ac:dyDescent="0.3"/>
    <row r="39" spans="3:16" customFormat="1" x14ac:dyDescent="0.3"/>
    <row r="40" spans="3:16" customFormat="1" x14ac:dyDescent="0.3"/>
    <row r="41" spans="3:16" customFormat="1" x14ac:dyDescent="0.3"/>
    <row r="42" spans="3:16" customFormat="1" x14ac:dyDescent="0.3"/>
    <row r="43" spans="3:16" customFormat="1" x14ac:dyDescent="0.3"/>
    <row r="44" spans="3:16" customFormat="1" x14ac:dyDescent="0.3"/>
    <row r="45" spans="3:16" customFormat="1" x14ac:dyDescent="0.3"/>
    <row r="46" spans="3:16" customFormat="1" x14ac:dyDescent="0.3"/>
    <row r="47" spans="3:16" customFormat="1" x14ac:dyDescent="0.3"/>
    <row r="48" spans="3:16" customFormat="1" x14ac:dyDescent="0.3"/>
    <row r="49" customFormat="1" x14ac:dyDescent="0.3"/>
    <row r="50" customFormat="1" x14ac:dyDescent="0.3"/>
    <row r="51" customFormat="1" x14ac:dyDescent="0.3"/>
    <row r="52" customFormat="1" x14ac:dyDescent="0.3"/>
    <row r="53" customFormat="1" x14ac:dyDescent="0.3"/>
    <row r="54" customFormat="1" x14ac:dyDescent="0.3"/>
    <row r="55" customFormat="1" x14ac:dyDescent="0.3"/>
    <row r="56" customFormat="1" x14ac:dyDescent="0.3"/>
    <row r="57" customFormat="1" x14ac:dyDescent="0.3"/>
    <row r="58" customFormat="1" x14ac:dyDescent="0.3"/>
    <row r="59" customFormat="1" x14ac:dyDescent="0.3"/>
    <row r="60" customFormat="1" x14ac:dyDescent="0.3"/>
    <row r="61" customFormat="1" x14ac:dyDescent="0.3"/>
    <row r="62" customFormat="1" x14ac:dyDescent="0.3"/>
    <row r="63" customFormat="1" x14ac:dyDescent="0.3"/>
    <row r="64" customFormat="1" x14ac:dyDescent="0.3"/>
    <row r="65" spans="10:17" customFormat="1" x14ac:dyDescent="0.3"/>
    <row r="66" spans="10:17" customFormat="1" x14ac:dyDescent="0.3"/>
    <row r="67" spans="10:17" customFormat="1" x14ac:dyDescent="0.3"/>
    <row r="68" spans="10:17" customFormat="1" x14ac:dyDescent="0.3"/>
    <row r="69" spans="10:17" customFormat="1" x14ac:dyDescent="0.3"/>
    <row r="70" spans="10:17" customFormat="1" x14ac:dyDescent="0.3"/>
    <row r="71" spans="10:17" customFormat="1" x14ac:dyDescent="0.3"/>
    <row r="72" spans="10:17" customFormat="1" x14ac:dyDescent="0.3"/>
    <row r="73" spans="10:17" customFormat="1" x14ac:dyDescent="0.3"/>
    <row r="74" spans="10:17" customFormat="1" x14ac:dyDescent="0.3"/>
    <row r="75" spans="10:17" customFormat="1" x14ac:dyDescent="0.3"/>
    <row r="76" spans="10:17" customFormat="1" x14ac:dyDescent="0.3"/>
    <row r="77" spans="10:17" x14ac:dyDescent="0.3">
      <c r="J77"/>
      <c r="K77"/>
      <c r="L77"/>
      <c r="M77"/>
      <c r="N77"/>
      <c r="O77"/>
      <c r="P77"/>
      <c r="Q77"/>
    </row>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sheetData>
  <mergeCells count="9">
    <mergeCell ref="D8:D11"/>
    <mergeCell ref="F8:F11"/>
    <mergeCell ref="H8:H11"/>
    <mergeCell ref="K3:P3"/>
    <mergeCell ref="K20:P20"/>
    <mergeCell ref="C3:I3"/>
    <mergeCell ref="D5:D7"/>
    <mergeCell ref="F5:F7"/>
    <mergeCell ref="H5:H7"/>
  </mergeCells>
  <hyperlinks>
    <hyperlink ref="A147" location="'2. SUMMARY AND ANALYSIS'!A1" display="top" xr:uid="{00000000-0004-0000-0200-000003000000}"/>
    <hyperlink ref="A79" location="'2. SUMMARY AND ANALYSIS'!A1" display="top"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DF9B-CFEA-427D-B0AE-6FD7B2B929DA}">
  <sheetPr codeName="Sheet6">
    <tabColor theme="0" tint="-0.499984740745262"/>
  </sheetPr>
  <dimension ref="A1:AY97"/>
  <sheetViews>
    <sheetView showGridLines="0" topLeftCell="A52" zoomScale="70" zoomScaleNormal="70" workbookViewId="0">
      <selection activeCell="S74" sqref="S74"/>
    </sheetView>
  </sheetViews>
  <sheetFormatPr defaultColWidth="8.88671875" defaultRowHeight="15.6" customHeight="1" x14ac:dyDescent="0.3"/>
  <cols>
    <col min="1" max="1" width="8.88671875" style="45"/>
    <col min="2" max="2" width="4.6640625" style="45" customWidth="1"/>
    <col min="3" max="3" width="26.109375" style="45" bestFit="1" customWidth="1"/>
    <col min="4" max="15" width="16.109375" style="45" customWidth="1"/>
    <col min="16" max="16" width="3" style="45" customWidth="1"/>
    <col min="17" max="20" width="17.77734375" style="45" customWidth="1"/>
    <col min="21" max="22" width="38.6640625" style="45" customWidth="1"/>
    <col min="23" max="23" width="6.77734375" style="45" hidden="1" customWidth="1"/>
    <col min="24" max="24" width="30.44140625" style="45" hidden="1" customWidth="1"/>
    <col min="25" max="27" width="21" style="45" hidden="1" customWidth="1"/>
    <col min="28" max="36" width="8.6640625" style="45" hidden="1" customWidth="1"/>
    <col min="37" max="37" width="8.88671875" style="45" hidden="1" customWidth="1"/>
    <col min="38" max="38" width="9.5546875" style="45" hidden="1" customWidth="1"/>
    <col min="39" max="39" width="25" style="45" hidden="1" customWidth="1"/>
    <col min="40" max="40" width="23.6640625" style="45" hidden="1" customWidth="1"/>
    <col min="41" max="41" width="24.44140625" style="45" hidden="1" customWidth="1"/>
    <col min="42" max="42" width="23.88671875" style="45" hidden="1" customWidth="1"/>
    <col min="43" max="43" width="26.109375" style="45" hidden="1" customWidth="1"/>
    <col min="44" max="51" width="8.88671875" style="45" hidden="1" customWidth="1"/>
    <col min="52" max="16384" width="8.88671875" style="45"/>
  </cols>
  <sheetData>
    <row r="1" spans="3:51" s="52" customFormat="1" ht="33" customHeight="1" x14ac:dyDescent="0.3">
      <c r="C1" s="542" t="s">
        <v>342</v>
      </c>
      <c r="D1" s="476"/>
      <c r="E1" s="476"/>
      <c r="F1" s="476"/>
    </row>
    <row r="2" spans="3:51" customFormat="1" ht="15.6" customHeight="1" x14ac:dyDescent="0.3"/>
    <row r="3" spans="3:51" customFormat="1" ht="15.6" customHeight="1" x14ac:dyDescent="0.3">
      <c r="D3" s="45"/>
      <c r="E3" s="45"/>
      <c r="S3" s="45"/>
      <c r="U3" s="654" t="s">
        <v>387</v>
      </c>
      <c r="V3" s="654"/>
      <c r="X3" s="664" t="s">
        <v>294</v>
      </c>
      <c r="Y3" s="665"/>
      <c r="Z3" s="665"/>
      <c r="AA3" s="665"/>
      <c r="AB3" s="665"/>
      <c r="AC3" s="665"/>
      <c r="AD3" s="665"/>
      <c r="AE3" s="665"/>
      <c r="AF3" s="665"/>
      <c r="AG3" s="665"/>
      <c r="AH3" s="665"/>
      <c r="AI3" s="665"/>
      <c r="AJ3" s="665"/>
      <c r="AK3" s="665"/>
      <c r="AL3" s="665"/>
      <c r="AM3" s="665"/>
      <c r="AN3" s="665"/>
      <c r="AO3" s="665"/>
      <c r="AP3" s="665"/>
      <c r="AQ3" s="665"/>
      <c r="AR3" s="665"/>
      <c r="AS3" s="665"/>
      <c r="AT3" s="665"/>
      <c r="AU3" s="665"/>
      <c r="AV3" s="665"/>
      <c r="AW3" s="665"/>
      <c r="AX3" s="666"/>
    </row>
    <row r="4" spans="3:51" customFormat="1" ht="15.6" customHeight="1" thickBot="1" x14ac:dyDescent="0.35">
      <c r="D4" s="45"/>
      <c r="E4" s="45"/>
      <c r="P4" s="45"/>
      <c r="Q4" s="112"/>
      <c r="S4" s="45"/>
      <c r="X4" s="393"/>
      <c r="Y4" s="658"/>
      <c r="Z4" s="659"/>
      <c r="AA4" s="660"/>
      <c r="AB4" s="658" t="s">
        <v>247</v>
      </c>
      <c r="AC4" s="659"/>
      <c r="AD4" s="659"/>
      <c r="AE4" s="659"/>
      <c r="AF4" s="660"/>
      <c r="AG4" s="667" t="s">
        <v>290</v>
      </c>
      <c r="AH4" s="668"/>
      <c r="AI4" s="667" t="s">
        <v>266</v>
      </c>
      <c r="AJ4" s="669"/>
      <c r="AK4" s="668"/>
      <c r="AL4" s="667" t="s">
        <v>291</v>
      </c>
      <c r="AM4" s="669"/>
      <c r="AN4" s="668"/>
      <c r="AO4" s="667" t="s">
        <v>292</v>
      </c>
      <c r="AP4" s="669"/>
      <c r="AQ4" s="668"/>
      <c r="AR4" s="667" t="s">
        <v>293</v>
      </c>
      <c r="AS4" s="668"/>
      <c r="AT4" s="667" t="s">
        <v>297</v>
      </c>
      <c r="AU4" s="668"/>
      <c r="AV4" s="6"/>
      <c r="AW4" s="408"/>
      <c r="AX4" s="408"/>
    </row>
    <row r="5" spans="3:51" customFormat="1" ht="21.6" customHeight="1" x14ac:dyDescent="0.3">
      <c r="D5" s="45"/>
      <c r="E5" s="45"/>
      <c r="P5" s="45"/>
      <c r="Q5" s="655" t="s">
        <v>358</v>
      </c>
      <c r="R5" s="656"/>
      <c r="S5" s="656"/>
      <c r="T5" s="657"/>
      <c r="X5" s="426" t="s">
        <v>285</v>
      </c>
      <c r="Y5" s="667" t="s">
        <v>252</v>
      </c>
      <c r="Z5" s="669"/>
      <c r="AA5" s="668"/>
      <c r="AB5" s="410" t="str">
        <f>IF('1. ASSESSMENT PROFILE'!D38 &lt;&gt;"", '1. ASSESSMENT PROFILE'!D38, "")</f>
        <v/>
      </c>
      <c r="AC5" s="410" t="str">
        <f>IF('1. ASSESSMENT PROFILE'!D39 &lt;&gt;"", '1. ASSESSMENT PROFILE'!D39, "")</f>
        <v/>
      </c>
      <c r="AD5" s="410" t="str">
        <f>IF('1. ASSESSMENT PROFILE'!D40 &lt;&gt;"", '1. ASSESSMENT PROFILE'!D40, "")</f>
        <v/>
      </c>
      <c r="AE5" s="425" t="str">
        <f>IF('1. ASSESSMENT PROFILE'!D41 &lt;&gt;"", '1. ASSESSMENT PROFILE'!D41, "")</f>
        <v/>
      </c>
      <c r="AF5" s="425" t="str">
        <f>IF('1. ASSESSMENT PROFILE'!D42 &lt;&gt;"", '1. ASSESSMENT PROFILE'!D42, "")</f>
        <v/>
      </c>
      <c r="AG5" s="407" t="s">
        <v>240</v>
      </c>
      <c r="AH5" s="407" t="s">
        <v>246</v>
      </c>
      <c r="AI5" s="407" t="s">
        <v>264</v>
      </c>
      <c r="AJ5" s="407" t="s">
        <v>265</v>
      </c>
      <c r="AK5" s="407" t="s">
        <v>392</v>
      </c>
      <c r="AL5" s="407" t="s">
        <v>260</v>
      </c>
      <c r="AM5" s="407" t="s">
        <v>262</v>
      </c>
      <c r="AN5" s="407" t="s">
        <v>130</v>
      </c>
      <c r="AO5" s="407" t="s">
        <v>261</v>
      </c>
      <c r="AP5" s="407" t="s">
        <v>263</v>
      </c>
      <c r="AQ5" s="407" t="s">
        <v>131</v>
      </c>
      <c r="AR5" s="407" t="s">
        <v>259</v>
      </c>
      <c r="AS5" s="407" t="s">
        <v>154</v>
      </c>
      <c r="AT5" s="394" t="s">
        <v>251</v>
      </c>
      <c r="AU5" s="395" t="s">
        <v>250</v>
      </c>
      <c r="AV5" s="407" t="s">
        <v>249</v>
      </c>
      <c r="AW5" s="407" t="s">
        <v>295</v>
      </c>
      <c r="AX5" s="407" t="s">
        <v>296</v>
      </c>
      <c r="AY5" s="295" t="s">
        <v>289</v>
      </c>
    </row>
    <row r="6" spans="3:51" customFormat="1" ht="21.6" customHeight="1" x14ac:dyDescent="0.3">
      <c r="D6" s="45"/>
      <c r="E6" s="45"/>
      <c r="P6" s="45"/>
      <c r="Q6" s="670" t="e">
        <f>TEXT($AW$7, "#%")&amp;$Y$7</f>
        <v>#DIV/0!</v>
      </c>
      <c r="R6" s="671"/>
      <c r="S6" s="671"/>
      <c r="T6" s="672"/>
      <c r="X6" s="407" t="s">
        <v>247</v>
      </c>
      <c r="Y6" s="641" t="s">
        <v>346</v>
      </c>
      <c r="Z6" s="642"/>
      <c r="AA6" s="643"/>
      <c r="AB6" s="415" t="str">
        <f>IF(AggPresumptiveP1[[#Totals],[Total Presumptive TB]]&gt;0, AggPresumptiveP1[[#Totals],[Total Presumptive TB]],"")</f>
        <v/>
      </c>
      <c r="AC6" s="415" t="str">
        <f>IF(AggPresumptiveP2[[#Totals],[Total Presumptive TB]]&gt;0, AggPresumptiveP2[[#Totals],[Total Presumptive TB]],"")</f>
        <v/>
      </c>
      <c r="AD6" s="415" t="str">
        <f>IF(AggPresumptiveP3[[#Totals],[Total Presumptive TB]]&gt;0, AggPresumptiveP3[[#Totals],[Total Presumptive TB]],"")</f>
        <v/>
      </c>
      <c r="AE6" s="452" t="str">
        <f>IF(AggPresumptiveP4[[#Totals],[Total Presumptive TB]]&gt;0, AggPresumptiveP4[[#Totals],[Total Presumptive TB]],"")</f>
        <v/>
      </c>
      <c r="AF6" s="415" t="str">
        <f>IF(AggPresumptiveP5[[#Totals],[Total Presumptive TB]]&gt;0, AggPresumptiveP5[[#Totals],[Total Presumptive TB]],"")</f>
        <v/>
      </c>
      <c r="AH6" s="407"/>
      <c r="AI6" s="407"/>
      <c r="AJ6" s="407"/>
      <c r="AK6" s="407"/>
      <c r="AL6" s="407"/>
      <c r="AM6" s="407"/>
      <c r="AN6" s="407"/>
      <c r="AO6" s="407"/>
      <c r="AP6" s="407"/>
      <c r="AQ6" s="407"/>
      <c r="AR6" s="407"/>
      <c r="AS6" s="407"/>
      <c r="AT6" s="394"/>
      <c r="AU6" s="394"/>
      <c r="AV6" s="407"/>
      <c r="AW6" s="395"/>
      <c r="AX6" s="395"/>
      <c r="AY6" s="407"/>
    </row>
    <row r="7" spans="3:51" customFormat="1" ht="21.6" customHeight="1" x14ac:dyDescent="0.3">
      <c r="D7" s="45"/>
      <c r="E7" s="45"/>
      <c r="P7" s="45"/>
      <c r="Q7" s="673" t="e">
        <f>TEXT($AW$8, "#%")&amp;$Y$8</f>
        <v>#DIV/0!</v>
      </c>
      <c r="R7" s="674"/>
      <c r="S7" s="674"/>
      <c r="T7" s="675"/>
      <c r="X7" s="407" t="s">
        <v>253</v>
      </c>
      <c r="Y7" s="641" t="s">
        <v>350</v>
      </c>
      <c r="Z7" s="642"/>
      <c r="AA7" s="643"/>
      <c r="AB7" s="409"/>
      <c r="AC7" s="409"/>
      <c r="AD7" s="409"/>
      <c r="AE7" s="424"/>
      <c r="AF7" s="424"/>
      <c r="AG7" s="414">
        <f>SUM(AggPresumptiveP1[[#Totals],[Number Specimens Collected]], AggPresumptiveP2[[#Totals],[Number Specimens Collected]], AggPresumptiveP3[[#Totals],[Number Specimens Collected]], AggPresumptiveP4[[#Totals],[Number Specimens Collected]], AggPresumptiveP5[[#Totals],[Number Specimens Collected]])</f>
        <v>0</v>
      </c>
      <c r="AH7" s="414">
        <f>SUM(AggPresumptiveP1[[#Totals],[Unable to Produce]], AggPresumptiveP2[[#Totals],[Unable to Produce]], AggPresumptiveP3[[#Totals],[Unable to Produce]], AggPresumptiveP4[[#Totals],[Unable to Produce]], AggPresumptiveP5[[#Totals],[Unable to Produce]])</f>
        <v>0</v>
      </c>
      <c r="AI7" s="407"/>
      <c r="AJ7" s="407"/>
      <c r="AK7" s="407"/>
      <c r="AL7" s="407"/>
      <c r="AM7" s="407"/>
      <c r="AN7" s="407"/>
      <c r="AO7" s="407"/>
      <c r="AP7" s="407"/>
      <c r="AQ7" s="407"/>
      <c r="AR7" s="407"/>
      <c r="AS7" s="407"/>
      <c r="AT7" s="394"/>
      <c r="AU7" s="394"/>
      <c r="AV7" s="407">
        <f>SUM(AB6:AF6)-SUM(AG7:AH7)</f>
        <v>0</v>
      </c>
      <c r="AW7" s="509" t="e">
        <f>AG7/SUM(AB6:AF6)</f>
        <v>#DIV/0!</v>
      </c>
      <c r="AX7" s="510" t="e">
        <f>1-AW7</f>
        <v>#DIV/0!</v>
      </c>
      <c r="AY7" s="407"/>
    </row>
    <row r="8" spans="3:51" customFormat="1" ht="21.6" customHeight="1" x14ac:dyDescent="0.3">
      <c r="D8" s="45"/>
      <c r="E8" s="45"/>
      <c r="P8" s="45"/>
      <c r="Q8" s="645" t="e">
        <f>TEXT($AW$9, "#%")&amp;$Y$9</f>
        <v>#DIV/0!</v>
      </c>
      <c r="R8" s="646"/>
      <c r="S8" s="646"/>
      <c r="T8" s="647"/>
      <c r="X8" s="407" t="s">
        <v>302</v>
      </c>
      <c r="Y8" s="641" t="s">
        <v>347</v>
      </c>
      <c r="Z8" s="642"/>
      <c r="AA8" s="643"/>
      <c r="AB8" s="409"/>
      <c r="AC8" s="409"/>
      <c r="AD8" s="409"/>
      <c r="AE8" s="424"/>
      <c r="AF8" s="424"/>
      <c r="AG8" s="407"/>
      <c r="AH8" s="407"/>
      <c r="AI8" s="413">
        <f>AggLabP1[[#Totals],[Sputum]]</f>
        <v>0</v>
      </c>
      <c r="AJ8" s="413">
        <f>AggLabP1[[#Totals],[Urine]]</f>
        <v>0</v>
      </c>
      <c r="AK8" s="413">
        <f>AY8-AI8-AJ8</f>
        <v>0</v>
      </c>
      <c r="AL8" s="407"/>
      <c r="AM8" s="407"/>
      <c r="AN8" s="407"/>
      <c r="AO8" s="407"/>
      <c r="AP8" s="407"/>
      <c r="AQ8" s="407"/>
      <c r="AR8" s="407"/>
      <c r="AS8" s="407"/>
      <c r="AT8" s="394"/>
      <c r="AU8" s="394"/>
      <c r="AV8" s="407">
        <f>AG7-AY8</f>
        <v>0</v>
      </c>
      <c r="AW8" s="511" t="e">
        <f>AY8/AG7</f>
        <v>#DIV/0!</v>
      </c>
      <c r="AX8" s="510" t="e">
        <f>1-AW8</f>
        <v>#DIV/0!</v>
      </c>
      <c r="AY8" s="407">
        <f>AggLabP1[[#Totals],[Total Specimens]]</f>
        <v>0</v>
      </c>
    </row>
    <row r="9" spans="3:51" customFormat="1" ht="21.6" customHeight="1" x14ac:dyDescent="0.3">
      <c r="D9" s="45"/>
      <c r="E9" s="45"/>
      <c r="P9" s="45"/>
      <c r="Q9" s="648" t="e">
        <f>TEXT($AW$10, "#%")&amp;$Y$10</f>
        <v>#DIV/0!</v>
      </c>
      <c r="R9" s="649"/>
      <c r="S9" s="649"/>
      <c r="T9" s="650"/>
      <c r="W9" t="s">
        <v>357</v>
      </c>
      <c r="X9" s="407" t="s">
        <v>303</v>
      </c>
      <c r="Y9" s="641" t="s">
        <v>348</v>
      </c>
      <c r="Z9" s="642"/>
      <c r="AA9" s="643"/>
      <c r="AB9" s="409"/>
      <c r="AC9" s="409"/>
      <c r="AD9" s="409"/>
      <c r="AE9" s="424"/>
      <c r="AF9" s="424"/>
      <c r="AG9" s="407"/>
      <c r="AH9" s="407"/>
      <c r="AI9" s="407"/>
      <c r="AJ9" s="407"/>
      <c r="AK9" s="407"/>
      <c r="AL9" s="413">
        <f>SUM(AggLabP1[[#Totals],[MTB Detected
(including trace), 
RIF Resistance not Detected
(T)]:[MTB Detected (including trace), 
RIF Resistance Indeterminate
(TI)]])</f>
        <v>0</v>
      </c>
      <c r="AM9" s="413">
        <f>AggLabP1[[#Totals],[AFB (+)]]</f>
        <v>0</v>
      </c>
      <c r="AN9" s="413">
        <f>AggLabP1[[#Totals], [LAM Positive]]</f>
        <v>0</v>
      </c>
      <c r="AO9" s="413">
        <f>AggLabP1[[#Totals],[MTB Not Detected
(N)]]</f>
        <v>0</v>
      </c>
      <c r="AP9" s="413">
        <f>AggLabP1[[#Totals],[AFB (-)]]</f>
        <v>0</v>
      </c>
      <c r="AQ9" s="413">
        <f>AggLabP1[[#Totals], [LAM Negative]]</f>
        <v>0</v>
      </c>
      <c r="AR9" s="413">
        <f>AggLabP1[[#Totals],[Invalid
No Result Error
(I)]]</f>
        <v>0</v>
      </c>
      <c r="AS9" s="413">
        <f>AggLabP1[[#Totals], [LAM Invalid]]</f>
        <v>0</v>
      </c>
      <c r="AT9" s="394"/>
      <c r="AU9" s="394"/>
      <c r="AV9" s="407">
        <f>AY8-SUM(AL9:AS9)</f>
        <v>0</v>
      </c>
      <c r="AW9" s="511" t="e">
        <f>SUM(AL9:AS9)/AY8</f>
        <v>#DIV/0!</v>
      </c>
      <c r="AX9" s="510" t="e">
        <f>1-AW9</f>
        <v>#DIV/0!</v>
      </c>
      <c r="AY9" s="407"/>
    </row>
    <row r="10" spans="3:51" customFormat="1" ht="21.6" customHeight="1" thickBot="1" x14ac:dyDescent="0.35">
      <c r="F10" s="45"/>
      <c r="P10" s="45"/>
      <c r="Q10" s="651" t="e">
        <f>TEXT($AW$11, "#%")&amp;$Y$11</f>
        <v>#DIV/0!</v>
      </c>
      <c r="R10" s="652"/>
      <c r="S10" s="652"/>
      <c r="T10" s="653"/>
      <c r="W10" t="s">
        <v>356</v>
      </c>
      <c r="X10" s="407" t="s">
        <v>304</v>
      </c>
      <c r="Y10" s="641" t="s">
        <v>349</v>
      </c>
      <c r="Z10" s="642"/>
      <c r="AA10" s="643"/>
      <c r="AB10" s="409"/>
      <c r="AC10" s="409"/>
      <c r="AD10" s="409"/>
      <c r="AE10" s="424"/>
      <c r="AF10" s="424"/>
      <c r="AG10" s="407"/>
      <c r="AH10" s="407"/>
      <c r="AI10" s="407"/>
      <c r="AJ10" s="407"/>
      <c r="AK10" s="407"/>
      <c r="AL10" s="414">
        <f>SUM(AggPresumptiveP1[[#Totals],[MTB Detected
(including trace), 
RIF Resistance not Detected
(T)]:[MTB Detected (including trace), 
RIF Resistance Indeterminate
(TI)]], AggPresumptiveP2[[#Totals],[MTB Detected
(including trace), 
RIF Resistance not Detected
(T)]:[MTB Detected (including trace), 
RIF Resistance Indeterminate
(TI)]], AggPresumptiveP3[[#Totals],[MTB Detected
(including trace), 
RIF Resistance not Detected
(T)]:[MTB Detected (including trace), 
RIF Resistance Indeterminate
(TI)]], AggPresumptiveP4[[#Totals],[MTB Detected
(including trace), 
RIF Resistance not Detected
(T)]:[MTB Detected (including trace), 
RIF Resistance Indeterminate
(TI)]], AggPresumptiveP5[[#Totals],[MTB Detected
(including trace), 
RIF Resistance not Detected
(T)]:[MTB Detected (including trace), 
RIF Resistance Indeterminate
(TI)]])</f>
        <v>0</v>
      </c>
      <c r="AM10" s="414">
        <f>SUM(AggPresumptiveP1[[#Totals],[AFB (+)]], AggPresumptiveP2[[#Totals],[AFB (+)]], AggPresumptiveP3[[#Totals],[AFB (+)]], AggPresumptiveP4[[#Totals],[AFB (+)]], AggPresumptiveP5[[#Totals],[AFB (+)]])</f>
        <v>0</v>
      </c>
      <c r="AN10" s="414">
        <f>SUM(AggPresumptiveP1[[#Totals], [LAM Positive]], AggPresumptiveP2[[#Totals], [LAM Positive]], AggPresumptiveP3[[#Totals], [LAM Positive]], AggPresumptiveP4[[#Totals], [LAM Positive]],AggPresumptiveP5[[#Totals], [LAM Positive]])</f>
        <v>0</v>
      </c>
      <c r="AO10" s="414">
        <f>SUM(AggPresumptiveP1[[#Totals],[MTB Not Detected
(N)]], AggPresumptiveP2[[#Totals],[MTB Not Detected
(N)]], AggPresumptiveP3[[#Totals],[MTB Not Detected
(N)]], AggPresumptiveP4[[#Totals],[MTB Not Detected
(N)]], AggPresumptiveP5[[#Totals],[MTB Not Detected
(N)]])</f>
        <v>0</v>
      </c>
      <c r="AP10" s="414">
        <f>SUM(AggPresumptiveP1[[#Totals],[AFB (-)]], AggPresumptiveP2[[#Totals],[AFB (-)]], AggPresumptiveP3[[#Totals],[AFB (-)]], AggPresumptiveP4[[#Totals],[AFB (-)]], AggPresumptiveP5[[#Totals],[AFB (-)]])</f>
        <v>0</v>
      </c>
      <c r="AQ10" s="414">
        <f>SUM(AggPresumptiveP1[[#Totals], [LAM Negative]], AggPresumptiveP2[[#Totals], [LAM Negative]], AggPresumptiveP3[[#Totals], [LAM Negative]], AggPresumptiveP4[[#Totals], [LAM Negative]], AggPresumptiveP5[[#Totals], [LAM Negative]])</f>
        <v>0</v>
      </c>
      <c r="AR10" s="414">
        <f>SUM(AggPresumptiveP1[[#Totals],[Invalid
No Result Error
(I)]], AggPresumptiveP2[[#Totals],[Invalid
No Result Error
(I)]], AggPresumptiveP3[[#Totals],[Invalid
No Result Error
(I)]], AggPresumptiveP4[[#Totals],[Invalid
No Result Error
(I)]], AggPresumptiveP5[[#Totals],[Invalid
No Result Error
(I)]])</f>
        <v>0</v>
      </c>
      <c r="AS10" s="414">
        <f>SUM(AggPresumptiveP1[[#Totals], [Invalid]], AggPresumptiveP2[[#Totals], [Invalid]], AggPresumptiveP3[[#Totals], [Invalid]], AggPresumptiveP4[[#Totals], [Invalid]], AggPresumptiveP5[[#Totals], [Invalid]])</f>
        <v>0</v>
      </c>
      <c r="AT10" s="394"/>
      <c r="AU10" s="394"/>
      <c r="AV10" s="407">
        <f>SUM(AL9:AS9)-SUM(AL10:AS10)</f>
        <v>0</v>
      </c>
      <c r="AW10" s="511" t="e">
        <f>SUM(AL10:AS10)/SUM(AL9:AS9)</f>
        <v>#DIV/0!</v>
      </c>
      <c r="AX10" s="510" t="e">
        <f>1-AW10</f>
        <v>#DIV/0!</v>
      </c>
      <c r="AY10" s="407"/>
    </row>
    <row r="11" spans="3:51" customFormat="1" ht="15.6" customHeight="1" x14ac:dyDescent="0.3">
      <c r="F11" s="45"/>
      <c r="X11" s="477" t="s">
        <v>297</v>
      </c>
      <c r="Y11" s="661" t="s">
        <v>351</v>
      </c>
      <c r="Z11" s="662"/>
      <c r="AA11" s="663"/>
      <c r="AB11" s="478"/>
      <c r="AC11" s="478"/>
      <c r="AD11" s="478"/>
      <c r="AE11" s="478"/>
      <c r="AF11" s="478"/>
      <c r="AG11" s="477"/>
      <c r="AH11" s="477"/>
      <c r="AI11" s="477"/>
      <c r="AJ11" s="477"/>
      <c r="AK11" s="477"/>
      <c r="AL11" s="477"/>
      <c r="AM11" s="477"/>
      <c r="AN11" s="477"/>
      <c r="AO11" s="477"/>
      <c r="AP11" s="477"/>
      <c r="AQ11" s="477"/>
      <c r="AR11" s="477"/>
      <c r="AS11" s="477"/>
      <c r="AT11" s="479">
        <f>AggTreatmentP1[[#Totals],[Total Patients ]]</f>
        <v>0</v>
      </c>
      <c r="AU11" s="479">
        <f>AggTreatmentP1[[#Totals],[Transferred Out]]</f>
        <v>0</v>
      </c>
      <c r="AV11" s="477">
        <f>SUM(AL10,AM10,AN10)-SUM(AT11)</f>
        <v>0</v>
      </c>
      <c r="AW11" s="512" t="e">
        <f>AT11/SUM(AL10:AN10)</f>
        <v>#DIV/0!</v>
      </c>
      <c r="AX11" s="513" t="e">
        <f>1-AW11</f>
        <v>#DIV/0!</v>
      </c>
      <c r="AY11" s="477"/>
    </row>
    <row r="12" spans="3:51" customFormat="1" ht="15.6" customHeight="1" x14ac:dyDescent="0.3">
      <c r="C12" s="45"/>
      <c r="D12" s="45"/>
      <c r="F12" s="45"/>
      <c r="X12" s="374" t="s">
        <v>305</v>
      </c>
      <c r="Y12" s="644" t="s">
        <v>352</v>
      </c>
      <c r="Z12" s="644"/>
      <c r="AA12" s="644"/>
      <c r="AB12" s="468" t="str">
        <f>IF($AB$6&lt;&gt;"", $AB$6/SUM($AB$6:$AF$6), "")</f>
        <v/>
      </c>
      <c r="AC12" s="468" t="str">
        <f>IF($AC$6&lt;&gt;"", $AC$6/SUM($AB$6:$AF$6), "")</f>
        <v/>
      </c>
      <c r="AD12" s="468" t="str">
        <f>IF($AD$6&lt;&gt;"", $AD$6/SUM($AB$6:$AF$6), "")</f>
        <v/>
      </c>
      <c r="AE12" s="468" t="str">
        <f>IF($AE$6&lt;&gt;"",$AE$6/SUM($AB$6:$AF$6), "")</f>
        <v/>
      </c>
      <c r="AF12" s="468" t="str">
        <f>IF($AF$6&lt;&gt;"", $AF$6/SUM($AB$6:$AF$6),"")</f>
        <v/>
      </c>
      <c r="AG12" s="295"/>
      <c r="AH12" s="295"/>
      <c r="AI12" s="295"/>
      <c r="AJ12" s="295"/>
      <c r="AK12" s="295"/>
      <c r="AL12" s="295"/>
      <c r="AM12" s="295"/>
      <c r="AN12" s="295"/>
      <c r="AO12" s="295"/>
      <c r="AP12" s="295"/>
      <c r="AQ12" s="295"/>
      <c r="AR12" s="295"/>
      <c r="AS12" s="295"/>
      <c r="AT12" s="295"/>
      <c r="AU12" s="295"/>
      <c r="AV12" s="295"/>
      <c r="AW12" s="514"/>
      <c r="AX12" s="514"/>
      <c r="AY12" s="295"/>
    </row>
    <row r="13" spans="3:51" customFormat="1" ht="15.6" customHeight="1" x14ac:dyDescent="0.3">
      <c r="C13" s="45"/>
      <c r="D13" s="45"/>
      <c r="F13" s="45"/>
      <c r="X13" s="640" t="s">
        <v>353</v>
      </c>
      <c r="Y13" s="295" t="s">
        <v>366</v>
      </c>
      <c r="Z13" s="295"/>
      <c r="AA13" s="295"/>
      <c r="AB13" s="295"/>
      <c r="AC13" s="295"/>
      <c r="AD13" s="295"/>
      <c r="AE13" s="295"/>
      <c r="AF13" s="295"/>
      <c r="AG13" s="295"/>
      <c r="AH13" s="295"/>
      <c r="AI13" s="295"/>
      <c r="AJ13" s="295"/>
      <c r="AK13" s="295"/>
      <c r="AL13" s="295"/>
      <c r="AM13" s="295"/>
      <c r="AN13" s="295"/>
      <c r="AO13" s="295"/>
      <c r="AP13" s="295"/>
      <c r="AQ13" s="295"/>
      <c r="AR13" s="295"/>
      <c r="AS13" s="295"/>
      <c r="AT13" s="295"/>
      <c r="AU13" s="295"/>
      <c r="AV13" s="295"/>
      <c r="AW13" s="515" t="e">
        <f>SUM(AG7:AH7)/SUM(AB6:AF6)</f>
        <v>#DIV/0!</v>
      </c>
      <c r="AX13" s="513" t="e">
        <f>1-AW13</f>
        <v>#DIV/0!</v>
      </c>
      <c r="AY13" s="295"/>
    </row>
    <row r="14" spans="3:51" customFormat="1" ht="15.6" customHeight="1" x14ac:dyDescent="0.3">
      <c r="C14" s="45"/>
      <c r="D14" s="45"/>
      <c r="F14" s="45"/>
      <c r="X14" s="640"/>
      <c r="Y14" s="295" t="s">
        <v>354</v>
      </c>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515" t="e">
        <f>SUM(AT11:AU11)/SUM(AL10:AN10)</f>
        <v>#DIV/0!</v>
      </c>
      <c r="AX14" s="510" t="e">
        <f>1-AW14</f>
        <v>#DIV/0!</v>
      </c>
      <c r="AY14" s="295"/>
    </row>
    <row r="15" spans="3:51" customFormat="1" ht="15.6" customHeight="1" x14ac:dyDescent="0.3">
      <c r="C15" s="45"/>
      <c r="D15" s="45"/>
      <c r="F15" s="45"/>
    </row>
    <row r="16" spans="3:51" customFormat="1" ht="15.6" customHeight="1" x14ac:dyDescent="0.3">
      <c r="C16" s="45"/>
      <c r="D16" s="45"/>
      <c r="F16" s="45"/>
    </row>
    <row r="17" spans="1:43" customFormat="1" ht="15.6" customHeight="1" x14ac:dyDescent="0.3">
      <c r="C17" s="45"/>
      <c r="D17" s="45"/>
      <c r="E17" s="45"/>
      <c r="F17" s="45"/>
    </row>
    <row r="18" spans="1:43" customFormat="1" ht="15.6" customHeight="1" x14ac:dyDescent="0.3">
      <c r="C18" s="45"/>
      <c r="D18" s="45"/>
      <c r="E18" s="45"/>
      <c r="F18" s="45"/>
    </row>
    <row r="19" spans="1:43" customFormat="1" ht="15.6" customHeight="1" x14ac:dyDescent="0.3">
      <c r="C19" s="45"/>
      <c r="D19" s="45"/>
      <c r="E19" s="45"/>
      <c r="F19" s="45"/>
    </row>
    <row r="20" spans="1:43" customFormat="1" ht="15.6" customHeight="1" x14ac:dyDescent="0.3">
      <c r="C20" s="45"/>
      <c r="D20" s="45"/>
      <c r="E20" s="45"/>
      <c r="F20" s="45"/>
    </row>
    <row r="21" spans="1:43" customFormat="1" ht="15.6" customHeight="1" x14ac:dyDescent="0.3">
      <c r="C21" s="45"/>
      <c r="D21" s="45"/>
      <c r="E21" s="45"/>
      <c r="F21" s="45"/>
    </row>
    <row r="22" spans="1:43" customFormat="1" ht="15.6" customHeight="1" x14ac:dyDescent="0.3">
      <c r="A22" s="45"/>
      <c r="B22" s="45"/>
      <c r="C22" s="45"/>
      <c r="D22" s="45"/>
      <c r="E22" s="45"/>
      <c r="F22" s="45"/>
    </row>
    <row r="23" spans="1:43" customFormat="1" ht="15.6" customHeight="1" x14ac:dyDescent="0.3">
      <c r="A23" s="45"/>
      <c r="B23" s="45"/>
      <c r="C23" s="45"/>
      <c r="D23" s="45"/>
      <c r="E23" s="45"/>
      <c r="F23" s="45"/>
    </row>
    <row r="24" spans="1:43" customFormat="1" ht="15.6" customHeight="1" x14ac:dyDescent="0.3">
      <c r="A24" s="45"/>
      <c r="B24" s="45"/>
      <c r="C24" s="45"/>
      <c r="D24" s="45"/>
      <c r="E24" s="45"/>
      <c r="F24" s="45"/>
      <c r="X24" s="45"/>
    </row>
    <row r="25" spans="1:43" customFormat="1" ht="15.6" customHeight="1" x14ac:dyDescent="0.3">
      <c r="A25" s="45"/>
      <c r="B25" s="45"/>
      <c r="C25" s="45"/>
      <c r="D25" s="45"/>
      <c r="E25" s="45"/>
      <c r="F25" s="45"/>
    </row>
    <row r="26" spans="1:43" customFormat="1" ht="15.6" customHeight="1" x14ac:dyDescent="0.3">
      <c r="A26" s="45"/>
      <c r="B26" s="45"/>
      <c r="C26" s="545"/>
      <c r="D26" s="45"/>
      <c r="E26" s="45"/>
      <c r="F26" s="45"/>
      <c r="O26" s="543"/>
    </row>
    <row r="27" spans="1:43" customFormat="1" ht="15.6" customHeight="1" x14ac:dyDescent="0.3">
      <c r="A27" s="45"/>
      <c r="B27" s="45"/>
      <c r="C27" s="546"/>
      <c r="D27" s="45"/>
      <c r="O27" s="544"/>
    </row>
    <row r="28" spans="1:43" customFormat="1" ht="15.6" customHeight="1" x14ac:dyDescent="0.3">
      <c r="A28" s="634" t="s">
        <v>305</v>
      </c>
      <c r="B28" s="521"/>
      <c r="C28" s="541" t="str">
        <f>AB5</f>
        <v/>
      </c>
      <c r="D28" s="627" t="str">
        <f>$AB$6</f>
        <v/>
      </c>
      <c r="E28" s="627"/>
      <c r="F28" s="627"/>
      <c r="G28" s="627"/>
      <c r="H28" s="627"/>
      <c r="I28" s="627"/>
      <c r="J28" s="627"/>
      <c r="K28" s="627"/>
      <c r="L28" s="627"/>
      <c r="M28" s="627"/>
      <c r="N28" s="627"/>
      <c r="O28" s="628"/>
      <c r="R28" s="45"/>
    </row>
    <row r="29" spans="1:43" customFormat="1" ht="15.6" customHeight="1" x14ac:dyDescent="0.3">
      <c r="A29" s="635"/>
      <c r="B29" s="522"/>
      <c r="C29" s="541" t="str">
        <f>AC5</f>
        <v/>
      </c>
      <c r="D29" s="627" t="str">
        <f>$AC$6</f>
        <v/>
      </c>
      <c r="E29" s="627"/>
      <c r="F29" s="627"/>
      <c r="G29" s="627"/>
      <c r="H29" s="627"/>
      <c r="I29" s="627"/>
      <c r="J29" s="627"/>
      <c r="K29" s="627"/>
      <c r="L29" s="627"/>
      <c r="M29" s="627"/>
      <c r="N29" s="627"/>
      <c r="O29" s="628"/>
      <c r="R29" s="45"/>
      <c r="AN29" s="45"/>
      <c r="AO29" s="45"/>
      <c r="AP29" s="45"/>
      <c r="AQ29" s="45"/>
    </row>
    <row r="30" spans="1:43" customFormat="1" ht="15.6" customHeight="1" x14ac:dyDescent="0.3">
      <c r="A30" s="635"/>
      <c r="B30" s="523"/>
      <c r="C30" s="541" t="str">
        <f>AD5</f>
        <v/>
      </c>
      <c r="D30" s="627" t="str">
        <f>$AD$6</f>
        <v/>
      </c>
      <c r="E30" s="627"/>
      <c r="F30" s="627"/>
      <c r="G30" s="627"/>
      <c r="H30" s="627"/>
      <c r="I30" s="627"/>
      <c r="J30" s="627"/>
      <c r="K30" s="627"/>
      <c r="L30" s="627"/>
      <c r="M30" s="627"/>
      <c r="N30" s="627"/>
      <c r="O30" s="628"/>
      <c r="R30" s="45"/>
      <c r="U30" s="45"/>
      <c r="V30" s="45"/>
      <c r="W30" s="45"/>
      <c r="AN30" s="45"/>
      <c r="AO30" s="45"/>
      <c r="AP30" s="45"/>
      <c r="AQ30" s="45"/>
    </row>
    <row r="31" spans="1:43" customFormat="1" ht="15.6" customHeight="1" x14ac:dyDescent="0.3">
      <c r="A31" s="635"/>
      <c r="B31" s="524"/>
      <c r="C31" s="541" t="str">
        <f>AE5</f>
        <v/>
      </c>
      <c r="D31" s="627" t="str">
        <f>$AE$6</f>
        <v/>
      </c>
      <c r="E31" s="627"/>
      <c r="F31" s="627"/>
      <c r="G31" s="627"/>
      <c r="H31" s="627"/>
      <c r="I31" s="627"/>
      <c r="J31" s="627"/>
      <c r="K31" s="627"/>
      <c r="L31" s="627"/>
      <c r="M31" s="627"/>
      <c r="N31" s="627"/>
      <c r="O31" s="628"/>
      <c r="R31" s="45"/>
      <c r="U31" s="45"/>
      <c r="V31" s="45"/>
      <c r="W31" s="45"/>
    </row>
    <row r="32" spans="1:43" customFormat="1" ht="15.6" customHeight="1" x14ac:dyDescent="0.3">
      <c r="A32" s="636"/>
      <c r="B32" s="525"/>
      <c r="C32" s="541" t="str">
        <f>AF5</f>
        <v/>
      </c>
      <c r="D32" s="627" t="str">
        <f>$AF$6</f>
        <v/>
      </c>
      <c r="E32" s="627"/>
      <c r="F32" s="627"/>
      <c r="G32" s="627"/>
      <c r="H32" s="627"/>
      <c r="I32" s="627"/>
      <c r="J32" s="627"/>
      <c r="K32" s="627"/>
      <c r="L32" s="627"/>
      <c r="M32" s="627"/>
      <c r="N32" s="627"/>
      <c r="O32" s="628"/>
      <c r="R32" s="45"/>
      <c r="U32" s="45"/>
      <c r="V32" s="45"/>
      <c r="W32" s="45"/>
    </row>
    <row r="33" spans="1:23" customFormat="1" ht="15.6" customHeight="1" x14ac:dyDescent="0.3">
      <c r="A33" s="629" t="s">
        <v>371</v>
      </c>
      <c r="B33" s="548"/>
      <c r="C33" s="541" t="str">
        <f>AG5</f>
        <v>Specimen Collected</v>
      </c>
      <c r="D33" s="627"/>
      <c r="E33" s="627"/>
      <c r="F33" s="627">
        <f>$AG$7</f>
        <v>0</v>
      </c>
      <c r="G33" s="627"/>
      <c r="H33" s="627"/>
      <c r="I33" s="627"/>
      <c r="J33" s="627"/>
      <c r="K33" s="627"/>
      <c r="L33" s="627"/>
      <c r="M33" s="627"/>
      <c r="N33" s="627"/>
      <c r="O33" s="628"/>
      <c r="R33" s="45"/>
      <c r="U33" s="45"/>
      <c r="V33" s="45"/>
      <c r="W33" s="45"/>
    </row>
    <row r="34" spans="1:23" customFormat="1" ht="15.6" customHeight="1" x14ac:dyDescent="0.3">
      <c r="A34" s="630"/>
      <c r="B34" s="526"/>
      <c r="C34" s="541" t="str">
        <f>AH5</f>
        <v>Unable to Produce</v>
      </c>
      <c r="D34" s="627"/>
      <c r="E34" s="627"/>
      <c r="F34" s="627">
        <f>$AH$7</f>
        <v>0</v>
      </c>
      <c r="G34" s="627"/>
      <c r="H34" s="627"/>
      <c r="I34" s="627"/>
      <c r="J34" s="627"/>
      <c r="K34" s="627"/>
      <c r="L34" s="627"/>
      <c r="M34" s="627"/>
      <c r="N34" s="627"/>
      <c r="O34" s="628"/>
      <c r="R34" s="45"/>
      <c r="U34" s="45"/>
      <c r="V34" s="45"/>
      <c r="W34" s="45"/>
    </row>
    <row r="35" spans="1:23" customFormat="1" ht="15.6" customHeight="1" x14ac:dyDescent="0.3">
      <c r="A35" s="631" t="s">
        <v>266</v>
      </c>
      <c r="B35" s="527"/>
      <c r="C35" s="541" t="str">
        <f>AI5</f>
        <v>Sputum</v>
      </c>
      <c r="D35" s="627"/>
      <c r="E35" s="627"/>
      <c r="F35" s="627"/>
      <c r="G35" s="627"/>
      <c r="H35" s="627">
        <f>$AI$8</f>
        <v>0</v>
      </c>
      <c r="I35" s="627"/>
      <c r="J35" s="627"/>
      <c r="K35" s="627"/>
      <c r="L35" s="627"/>
      <c r="M35" s="627"/>
      <c r="N35" s="627"/>
      <c r="O35" s="628"/>
      <c r="R35" s="45"/>
      <c r="U35" s="45"/>
      <c r="V35" s="45"/>
      <c r="W35" s="45"/>
    </row>
    <row r="36" spans="1:23" customFormat="1" ht="15.6" customHeight="1" x14ac:dyDescent="0.3">
      <c r="A36" s="632"/>
      <c r="B36" s="528"/>
      <c r="C36" s="541" t="str">
        <f>AJ5</f>
        <v>Urine</v>
      </c>
      <c r="D36" s="627"/>
      <c r="E36" s="627"/>
      <c r="F36" s="627"/>
      <c r="G36" s="627"/>
      <c r="H36" s="627">
        <f>$AJ$8</f>
        <v>0</v>
      </c>
      <c r="I36" s="627"/>
      <c r="J36" s="627"/>
      <c r="K36" s="627"/>
      <c r="L36" s="627"/>
      <c r="M36" s="627"/>
      <c r="N36" s="627"/>
      <c r="O36" s="628"/>
      <c r="R36" s="45"/>
      <c r="U36" s="45"/>
      <c r="V36" s="45"/>
      <c r="W36" s="45"/>
    </row>
    <row r="37" spans="1:23" customFormat="1" ht="15.6" customHeight="1" x14ac:dyDescent="0.3">
      <c r="A37" s="633"/>
      <c r="B37" s="529"/>
      <c r="C37" s="541" t="str">
        <f>AK5</f>
        <v>Unknown Specimen Type</v>
      </c>
      <c r="D37" s="627"/>
      <c r="E37" s="627"/>
      <c r="F37" s="627"/>
      <c r="G37" s="627"/>
      <c r="H37" s="627">
        <f>$AK$8</f>
        <v>0</v>
      </c>
      <c r="I37" s="627"/>
      <c r="J37" s="627"/>
      <c r="K37" s="627"/>
      <c r="L37" s="627"/>
      <c r="M37" s="627"/>
      <c r="N37" s="627"/>
      <c r="O37" s="628"/>
      <c r="R37" s="45"/>
      <c r="U37" s="45"/>
      <c r="V37" s="45"/>
      <c r="W37" s="45"/>
    </row>
    <row r="38" spans="1:23" customFormat="1" ht="15.6" customHeight="1" x14ac:dyDescent="0.3">
      <c r="A38" s="632" t="s">
        <v>291</v>
      </c>
      <c r="B38" s="530"/>
      <c r="C38" s="541" t="str">
        <f>AL5</f>
        <v xml:space="preserve">mWRD Positive </v>
      </c>
      <c r="D38" s="627"/>
      <c r="E38" s="627"/>
      <c r="F38" s="627"/>
      <c r="G38" s="627"/>
      <c r="H38" s="627"/>
      <c r="I38" s="627"/>
      <c r="J38" s="627">
        <f>$AL$9</f>
        <v>0</v>
      </c>
      <c r="K38" s="627"/>
      <c r="L38" s="627">
        <f>$AL$10</f>
        <v>0</v>
      </c>
      <c r="M38" s="627"/>
      <c r="N38" s="627"/>
      <c r="O38" s="628"/>
      <c r="R38" s="45"/>
      <c r="U38" s="45"/>
      <c r="V38" s="45"/>
      <c r="W38" s="45"/>
    </row>
    <row r="39" spans="1:23" customFormat="1" ht="15.6" customHeight="1" x14ac:dyDescent="0.3">
      <c r="A39" s="632"/>
      <c r="B39" s="531"/>
      <c r="C39" s="541" t="str">
        <f>AM5</f>
        <v>Smear Positive</v>
      </c>
      <c r="D39" s="627"/>
      <c r="E39" s="627"/>
      <c r="F39" s="627"/>
      <c r="G39" s="627"/>
      <c r="H39" s="627"/>
      <c r="I39" s="627"/>
      <c r="J39" s="627">
        <f>$AM$9</f>
        <v>0</v>
      </c>
      <c r="K39" s="627"/>
      <c r="L39" s="627">
        <f>$AM$10</f>
        <v>0</v>
      </c>
      <c r="M39" s="627"/>
      <c r="N39" s="627"/>
      <c r="O39" s="628"/>
      <c r="R39" s="45"/>
      <c r="U39" s="45"/>
      <c r="V39" s="45"/>
      <c r="W39" s="45"/>
    </row>
    <row r="40" spans="1:23" customFormat="1" ht="15.6" customHeight="1" x14ac:dyDescent="0.3">
      <c r="A40" s="632"/>
      <c r="B40" s="532"/>
      <c r="C40" s="541" t="str">
        <f>AN5</f>
        <v>LAM Positive</v>
      </c>
      <c r="D40" s="627"/>
      <c r="E40" s="627"/>
      <c r="F40" s="627"/>
      <c r="G40" s="627"/>
      <c r="H40" s="627"/>
      <c r="I40" s="627"/>
      <c r="J40" s="627">
        <f>$AN$9</f>
        <v>0</v>
      </c>
      <c r="K40" s="627"/>
      <c r="L40" s="627">
        <f>$AN$10</f>
        <v>0</v>
      </c>
      <c r="M40" s="627"/>
      <c r="N40" s="627"/>
      <c r="O40" s="628"/>
      <c r="R40" s="45"/>
    </row>
    <row r="41" spans="1:23" customFormat="1" ht="15.6" customHeight="1" x14ac:dyDescent="0.3">
      <c r="A41" s="631" t="s">
        <v>292</v>
      </c>
      <c r="B41" s="533"/>
      <c r="C41" s="541" t="str">
        <f>AO5</f>
        <v>mWRD Negative</v>
      </c>
      <c r="D41" s="627"/>
      <c r="E41" s="627"/>
      <c r="F41" s="627"/>
      <c r="G41" s="627"/>
      <c r="H41" s="627"/>
      <c r="I41" s="627"/>
      <c r="J41" s="627">
        <f>$AO$9</f>
        <v>0</v>
      </c>
      <c r="K41" s="627"/>
      <c r="L41" s="627">
        <f>$AO$10</f>
        <v>0</v>
      </c>
      <c r="M41" s="627"/>
      <c r="N41" s="627"/>
      <c r="O41" s="628"/>
      <c r="R41" s="45"/>
    </row>
    <row r="42" spans="1:23" customFormat="1" ht="15.6" customHeight="1" x14ac:dyDescent="0.3">
      <c r="A42" s="632"/>
      <c r="B42" s="534"/>
      <c r="C42" s="541" t="str">
        <f>AP5</f>
        <v>Smear Negative</v>
      </c>
      <c r="D42" s="627"/>
      <c r="E42" s="627"/>
      <c r="F42" s="627"/>
      <c r="G42" s="627"/>
      <c r="H42" s="627"/>
      <c r="I42" s="627"/>
      <c r="J42" s="627">
        <f>$AP$9</f>
        <v>0</v>
      </c>
      <c r="K42" s="627"/>
      <c r="L42" s="627">
        <f>$AP$10</f>
        <v>0</v>
      </c>
      <c r="M42" s="627"/>
      <c r="N42" s="627"/>
      <c r="O42" s="628"/>
      <c r="R42" s="45"/>
    </row>
    <row r="43" spans="1:23" customFormat="1" ht="15.6" customHeight="1" x14ac:dyDescent="0.3">
      <c r="A43" s="632"/>
      <c r="B43" s="535"/>
      <c r="C43" s="541" t="str">
        <f>AQ5</f>
        <v>LAM Negative</v>
      </c>
      <c r="D43" s="627"/>
      <c r="E43" s="627"/>
      <c r="F43" s="627"/>
      <c r="G43" s="627"/>
      <c r="H43" s="627"/>
      <c r="I43" s="627"/>
      <c r="J43" s="627">
        <f>$AQ$9</f>
        <v>0</v>
      </c>
      <c r="K43" s="627"/>
      <c r="L43" s="627">
        <f>$AQ$10</f>
        <v>0</v>
      </c>
      <c r="M43" s="627"/>
      <c r="N43" s="627"/>
      <c r="O43" s="628"/>
      <c r="R43" s="45"/>
    </row>
    <row r="44" spans="1:23" customFormat="1" ht="15.6" customHeight="1" x14ac:dyDescent="0.3">
      <c r="A44" s="629" t="s">
        <v>369</v>
      </c>
      <c r="B44" s="536"/>
      <c r="C44" s="541" t="str">
        <f>AR5</f>
        <v>mWRD Invalid</v>
      </c>
      <c r="D44" s="627"/>
      <c r="E44" s="627"/>
      <c r="F44" s="627"/>
      <c r="G44" s="627"/>
      <c r="H44" s="627"/>
      <c r="I44" s="627"/>
      <c r="J44" s="627">
        <f>$AR$9</f>
        <v>0</v>
      </c>
      <c r="K44" s="627"/>
      <c r="L44" s="627">
        <f>$AR$10</f>
        <v>0</v>
      </c>
      <c r="M44" s="627"/>
      <c r="N44" s="627"/>
      <c r="O44" s="628"/>
      <c r="R44" s="45"/>
    </row>
    <row r="45" spans="1:23" customFormat="1" ht="15.6" customHeight="1" x14ac:dyDescent="0.3">
      <c r="A45" s="630"/>
      <c r="B45" s="537"/>
      <c r="C45" s="541" t="str">
        <f>AS5</f>
        <v>LAM Invalid</v>
      </c>
      <c r="D45" s="627"/>
      <c r="E45" s="627"/>
      <c r="F45" s="627"/>
      <c r="G45" s="627"/>
      <c r="H45" s="627"/>
      <c r="I45" s="627"/>
      <c r="J45" s="627">
        <f>$AS$9</f>
        <v>0</v>
      </c>
      <c r="K45" s="627"/>
      <c r="L45" s="627">
        <f>$AS$10</f>
        <v>0</v>
      </c>
      <c r="M45" s="627"/>
      <c r="N45" s="627"/>
      <c r="O45" s="628"/>
      <c r="R45" s="45"/>
    </row>
    <row r="46" spans="1:23" customFormat="1" ht="15.6" customHeight="1" x14ac:dyDescent="0.3">
      <c r="A46" s="629" t="s">
        <v>370</v>
      </c>
      <c r="B46" s="538"/>
      <c r="C46" s="541" t="str">
        <f>AT5</f>
        <v>Initiated  Treatment</v>
      </c>
      <c r="D46" s="627"/>
      <c r="E46" s="627"/>
      <c r="F46" s="627"/>
      <c r="G46" s="627"/>
      <c r="H46" s="627"/>
      <c r="I46" s="627"/>
      <c r="J46" s="627"/>
      <c r="K46" s="627"/>
      <c r="L46" s="627"/>
      <c r="M46" s="627"/>
      <c r="N46" s="627">
        <f>$AT$11</f>
        <v>0</v>
      </c>
      <c r="O46" s="628"/>
      <c r="R46" s="45"/>
    </row>
    <row r="47" spans="1:23" customFormat="1" ht="15.6" customHeight="1" x14ac:dyDescent="0.3">
      <c r="A47" s="630"/>
      <c r="B47" s="539"/>
      <c r="C47" s="541" t="str">
        <f>AU5</f>
        <v>Transferred</v>
      </c>
      <c r="D47" s="627"/>
      <c r="E47" s="627"/>
      <c r="F47" s="627"/>
      <c r="G47" s="627"/>
      <c r="H47" s="627"/>
      <c r="I47" s="627"/>
      <c r="J47" s="627"/>
      <c r="K47" s="627"/>
      <c r="L47" s="627"/>
      <c r="M47" s="627"/>
      <c r="N47" s="627">
        <f>$AU$11</f>
        <v>0</v>
      </c>
      <c r="O47" s="628"/>
      <c r="R47" s="45"/>
    </row>
    <row r="48" spans="1:23" customFormat="1" ht="15.6" customHeight="1" x14ac:dyDescent="0.3">
      <c r="A48" s="547"/>
      <c r="B48" s="540"/>
      <c r="C48" s="541" t="str">
        <f>AV5</f>
        <v>Not Documented</v>
      </c>
      <c r="D48" s="627">
        <f>$AV$6</f>
        <v>0</v>
      </c>
      <c r="E48" s="627"/>
      <c r="F48" s="627">
        <f>$AV$7</f>
        <v>0</v>
      </c>
      <c r="G48" s="627"/>
      <c r="H48" s="627">
        <f>$AV$8</f>
        <v>0</v>
      </c>
      <c r="I48" s="627"/>
      <c r="J48" s="627">
        <f>$AV$9</f>
        <v>0</v>
      </c>
      <c r="K48" s="627"/>
      <c r="L48" s="627">
        <f>$AV$10</f>
        <v>0</v>
      </c>
      <c r="M48" s="627"/>
      <c r="N48" s="627">
        <f>$AV$11</f>
        <v>0</v>
      </c>
      <c r="O48" s="628"/>
      <c r="R48" s="45"/>
    </row>
    <row r="49" spans="1:40" customFormat="1" ht="24.6" customHeight="1" x14ac:dyDescent="0.3">
      <c r="A49" s="549"/>
      <c r="D49" s="637" t="s">
        <v>94</v>
      </c>
      <c r="E49" s="638"/>
      <c r="F49" s="638"/>
      <c r="G49" s="638"/>
      <c r="H49" s="637" t="s">
        <v>95</v>
      </c>
      <c r="I49" s="638"/>
      <c r="J49" s="638"/>
      <c r="K49" s="638"/>
      <c r="L49" s="637" t="s">
        <v>368</v>
      </c>
      <c r="M49" s="638"/>
      <c r="N49" s="637" t="s">
        <v>96</v>
      </c>
      <c r="O49" s="639"/>
    </row>
    <row r="50" spans="1:40" customFormat="1" ht="15.6" customHeight="1" x14ac:dyDescent="0.4">
      <c r="D50" s="45"/>
      <c r="J50" s="411"/>
      <c r="K50" s="411"/>
      <c r="L50" s="411"/>
    </row>
    <row r="51" spans="1:40" s="52" customFormat="1" ht="32.4" customHeight="1" x14ac:dyDescent="0.3">
      <c r="C51" s="542" t="s">
        <v>341</v>
      </c>
    </row>
    <row r="52" spans="1:40" customFormat="1" ht="18.600000000000001" customHeight="1" x14ac:dyDescent="0.3"/>
    <row r="53" spans="1:40" customFormat="1" ht="18.600000000000001" customHeight="1" x14ac:dyDescent="0.3"/>
    <row r="54" spans="1:40" customFormat="1" ht="18.600000000000001" customHeight="1" x14ac:dyDescent="0.3">
      <c r="D54" s="45"/>
      <c r="E54" s="45"/>
      <c r="F54" s="45"/>
      <c r="G54" s="45"/>
      <c r="H54" s="45"/>
      <c r="I54" s="45"/>
      <c r="J54" s="45"/>
      <c r="K54" s="45"/>
      <c r="L54" s="45"/>
      <c r="M54" s="45"/>
      <c r="N54" s="45"/>
      <c r="O54" s="45"/>
      <c r="P54" s="45"/>
      <c r="Q54" s="45"/>
    </row>
    <row r="55" spans="1:40" customFormat="1" ht="18.600000000000001" customHeight="1" x14ac:dyDescent="0.3">
      <c r="D55" s="45"/>
      <c r="E55" s="45"/>
      <c r="F55" s="45"/>
      <c r="G55" s="45"/>
      <c r="H55" s="45"/>
      <c r="I55" s="45"/>
      <c r="J55" s="45"/>
      <c r="K55" s="45"/>
      <c r="L55" s="45"/>
      <c r="M55" s="45"/>
      <c r="N55" s="45"/>
      <c r="O55" s="45"/>
      <c r="P55" s="45"/>
      <c r="Q55" s="45"/>
      <c r="X55" s="473" t="s">
        <v>335</v>
      </c>
      <c r="Y55" s="466"/>
      <c r="Z55" s="466" t="s">
        <v>343</v>
      </c>
      <c r="AA55" s="466" t="s">
        <v>345</v>
      </c>
      <c r="AB55" s="466" t="str">
        <f>AggTPTP1[[#Headers],[3HP]]</f>
        <v>3HP</v>
      </c>
      <c r="AC55" s="466" t="str">
        <f>AggTPTP1[[#Headers],[6H]]</f>
        <v>6H</v>
      </c>
      <c r="AD55" s="466" t="str">
        <f>AggTPTP1[[#Headers],[Other]]</f>
        <v>Other</v>
      </c>
      <c r="AE55" s="466" t="s">
        <v>280</v>
      </c>
      <c r="AF55" s="474" t="s">
        <v>250</v>
      </c>
      <c r="AG55" s="474" t="s">
        <v>337</v>
      </c>
      <c r="AH55" s="466" t="s">
        <v>331</v>
      </c>
      <c r="AI55" s="466" t="s">
        <v>344</v>
      </c>
      <c r="AJ55" s="45"/>
      <c r="AN55" s="45"/>
    </row>
    <row r="56" spans="1:40" customFormat="1" ht="18.600000000000001" customHeight="1" x14ac:dyDescent="0.3">
      <c r="D56" s="45"/>
      <c r="E56" s="45"/>
      <c r="F56" s="45"/>
      <c r="G56" s="45"/>
      <c r="H56" s="45"/>
      <c r="I56" s="45"/>
      <c r="J56" s="45"/>
      <c r="K56" s="45"/>
      <c r="L56" s="45"/>
      <c r="M56" s="45"/>
      <c r="N56" s="45"/>
      <c r="O56" s="45"/>
      <c r="P56" s="45"/>
      <c r="Q56" s="45"/>
      <c r="X56" s="422" t="s">
        <v>94</v>
      </c>
      <c r="Y56" s="469" t="s">
        <v>332</v>
      </c>
      <c r="Z56" s="295">
        <f>SUM(AggPresumptiveP1[[#Totals],[HIV Positive]], AggPresumptiveP2[[#Totals],[HIV Positive]], AggPresumptiveP3[[#Totals],[HIV Positive]], AggPresumptiveP4[[#Totals],[HIV Positive]], AggPresumptiveP5[[#Totals],[HIV Positive]])</f>
        <v>0</v>
      </c>
      <c r="AA56" s="422"/>
      <c r="AB56" s="295"/>
      <c r="AC56" s="295"/>
      <c r="AD56" s="295"/>
      <c r="AE56" s="295"/>
      <c r="AF56" s="295"/>
      <c r="AG56" s="295" t="s">
        <v>334</v>
      </c>
      <c r="AH56" s="295"/>
      <c r="AI56" s="422"/>
      <c r="AJ56" s="45"/>
      <c r="AN56" s="45"/>
    </row>
    <row r="57" spans="1:40" customFormat="1" ht="18.600000000000001" customHeight="1" x14ac:dyDescent="0.3">
      <c r="D57" s="45"/>
      <c r="E57" s="45"/>
      <c r="F57" s="45"/>
      <c r="G57" s="45"/>
      <c r="H57" s="45"/>
      <c r="I57" s="45"/>
      <c r="J57" s="45"/>
      <c r="K57" s="45"/>
      <c r="L57" s="45"/>
      <c r="M57" s="45"/>
      <c r="N57" s="45"/>
      <c r="O57" s="45"/>
      <c r="P57" s="45"/>
      <c r="Q57" s="45"/>
      <c r="X57" s="422" t="s">
        <v>96</v>
      </c>
      <c r="Y57" s="469" t="s">
        <v>365</v>
      </c>
      <c r="Z57" s="422"/>
      <c r="AA57" s="295">
        <f>$Z$56-$AI$57</f>
        <v>0</v>
      </c>
      <c r="AB57" s="295"/>
      <c r="AC57" s="295"/>
      <c r="AD57" s="295"/>
      <c r="AE57" s="295"/>
      <c r="AF57" s="295"/>
      <c r="AG57" s="295" t="s">
        <v>334</v>
      </c>
      <c r="AH57" s="295"/>
      <c r="AI57" s="295">
        <f>SUM(AggTreatmentP1[[#Totals],[Known HIV Positive (KPos)]], AggTreatmentP1[[#Totals],[Newly Tested HIV Positive (NPos)]])</f>
        <v>0</v>
      </c>
      <c r="AJ57" s="45"/>
      <c r="AN57" s="45"/>
    </row>
    <row r="58" spans="1:40" customFormat="1" ht="18.600000000000001" customHeight="1" x14ac:dyDescent="0.3">
      <c r="D58" s="45"/>
      <c r="E58" s="45"/>
      <c r="F58" s="45"/>
      <c r="G58" s="45"/>
      <c r="H58" s="45"/>
      <c r="I58" s="45"/>
      <c r="J58" s="45"/>
      <c r="K58" s="45"/>
      <c r="L58" s="45"/>
      <c r="M58" s="45"/>
      <c r="N58" s="45"/>
      <c r="O58" s="45"/>
      <c r="P58" s="45"/>
      <c r="Q58" s="45"/>
      <c r="X58" s="422" t="s">
        <v>336</v>
      </c>
      <c r="Y58" s="470" t="s">
        <v>324</v>
      </c>
      <c r="Z58" s="422"/>
      <c r="AA58" s="295"/>
      <c r="AB58" s="295">
        <f>AggTPTP1[[#Totals],[3HP]]</f>
        <v>0</v>
      </c>
      <c r="AC58" s="295">
        <f>AggTPTP1[[#Totals],[6H]]</f>
        <v>0</v>
      </c>
      <c r="AD58" s="295">
        <f>AggTPTP1[[#Totals],[Other]]</f>
        <v>0</v>
      </c>
      <c r="AE58" s="295"/>
      <c r="AF58" s="295"/>
      <c r="AG58" s="295">
        <f>$AH$58-SUM($AB$58:$AD$58)</f>
        <v>0</v>
      </c>
      <c r="AH58" s="295">
        <f>AggTPTP1[[#Totals],[Total Patients ]]</f>
        <v>0</v>
      </c>
      <c r="AI58" s="295"/>
      <c r="AJ58" s="45"/>
      <c r="AN58" s="45"/>
    </row>
    <row r="59" spans="1:40" customFormat="1" ht="18.600000000000001" customHeight="1" x14ac:dyDescent="0.3">
      <c r="D59" s="45"/>
      <c r="E59" s="45"/>
      <c r="F59" s="45"/>
      <c r="G59" s="45"/>
      <c r="H59" s="45"/>
      <c r="I59" s="45"/>
      <c r="J59" s="45"/>
      <c r="K59" s="45"/>
      <c r="L59" s="45"/>
      <c r="M59" s="45"/>
      <c r="N59" s="45"/>
      <c r="O59" s="45"/>
      <c r="P59" s="45"/>
      <c r="Q59" s="45"/>
      <c r="X59" s="422" t="s">
        <v>336</v>
      </c>
      <c r="Y59" s="469" t="s">
        <v>333</v>
      </c>
      <c r="Z59" s="422"/>
      <c r="AA59" s="295"/>
      <c r="AB59" s="295"/>
      <c r="AC59" s="295"/>
      <c r="AD59" s="295"/>
      <c r="AE59" s="295">
        <f>AggTPTP1[[#Totals],[TPT Completed]]</f>
        <v>0</v>
      </c>
      <c r="AF59" s="295">
        <f>AggTPTP1[[#Totals],[Transferred out]]</f>
        <v>0</v>
      </c>
      <c r="AG59" s="295">
        <f>$AH$58-SUM($AE$59:$AF$59)</f>
        <v>0</v>
      </c>
      <c r="AH59" s="295"/>
      <c r="AI59" s="295"/>
      <c r="AJ59" s="45"/>
      <c r="AN59" s="45"/>
    </row>
    <row r="60" spans="1:40" customFormat="1" ht="18.600000000000001" customHeight="1" x14ac:dyDescent="0.3">
      <c r="D60" s="45"/>
      <c r="E60" s="45"/>
      <c r="F60" s="45"/>
      <c r="G60" s="45"/>
      <c r="H60" s="45"/>
      <c r="I60" s="45"/>
      <c r="J60" s="45"/>
      <c r="K60" s="45"/>
      <c r="L60" s="45"/>
      <c r="M60" s="45"/>
      <c r="N60" s="45"/>
      <c r="O60" s="45"/>
      <c r="P60" s="45"/>
      <c r="Q60" s="45"/>
    </row>
    <row r="61" spans="1:40" customFormat="1" ht="18.600000000000001" customHeight="1" x14ac:dyDescent="0.3">
      <c r="D61" s="45"/>
      <c r="E61" s="45"/>
      <c r="F61" s="45"/>
      <c r="G61" s="45"/>
      <c r="H61" s="45"/>
      <c r="I61" s="45"/>
      <c r="J61" s="45"/>
      <c r="K61" s="45"/>
      <c r="L61" s="45"/>
      <c r="M61" s="45"/>
      <c r="N61" s="45"/>
      <c r="O61" s="45"/>
      <c r="P61" s="45"/>
      <c r="Q61" s="45"/>
      <c r="X61" s="295"/>
      <c r="Y61" s="422" t="s">
        <v>248</v>
      </c>
      <c r="Z61" s="422" t="s">
        <v>337</v>
      </c>
    </row>
    <row r="62" spans="1:40" customFormat="1" ht="18.600000000000001" customHeight="1" x14ac:dyDescent="0.3">
      <c r="D62" s="45"/>
      <c r="E62" s="45"/>
      <c r="F62" s="45"/>
      <c r="G62" s="45"/>
      <c r="H62" s="45"/>
      <c r="I62" s="45"/>
      <c r="J62" s="45"/>
      <c r="K62" s="45"/>
      <c r="L62" s="45"/>
      <c r="M62" s="45"/>
      <c r="N62" s="45"/>
      <c r="O62" s="45"/>
      <c r="P62" s="45"/>
      <c r="Q62" s="45"/>
      <c r="X62" s="466" t="s">
        <v>338</v>
      </c>
      <c r="Y62" s="467" t="e">
        <f>$AH$58/$Z$56</f>
        <v>#DIV/0!</v>
      </c>
      <c r="Z62" s="475" t="e">
        <f>1-$Y$62</f>
        <v>#DIV/0!</v>
      </c>
    </row>
    <row r="63" spans="1:40" customFormat="1" ht="18.600000000000001" customHeight="1" x14ac:dyDescent="0.3">
      <c r="D63" s="45"/>
      <c r="E63" s="45"/>
      <c r="F63" s="45"/>
      <c r="G63" s="45"/>
      <c r="H63" s="45"/>
      <c r="I63" s="45"/>
      <c r="J63" s="45"/>
      <c r="K63" s="45"/>
      <c r="L63" s="45"/>
      <c r="M63" s="45"/>
      <c r="N63" s="45"/>
      <c r="O63" s="45"/>
      <c r="P63" s="45"/>
      <c r="Q63" s="45"/>
      <c r="X63" s="466" t="s">
        <v>339</v>
      </c>
      <c r="Y63" s="467" t="e">
        <f>$AH$58/$AA$57</f>
        <v>#DIV/0!</v>
      </c>
      <c r="Z63" s="475" t="e">
        <f>1-$Y$63</f>
        <v>#DIV/0!</v>
      </c>
    </row>
    <row r="64" spans="1:40" customFormat="1" ht="18.600000000000001" customHeight="1" x14ac:dyDescent="0.3">
      <c r="D64" s="45"/>
      <c r="E64" s="45"/>
      <c r="F64" s="45"/>
      <c r="G64" s="45"/>
      <c r="H64" s="45"/>
      <c r="I64" s="45"/>
      <c r="J64" s="45"/>
      <c r="K64" s="45"/>
      <c r="L64" s="45"/>
      <c r="M64" s="45"/>
      <c r="N64" s="45"/>
      <c r="O64" s="45"/>
      <c r="P64" s="45"/>
      <c r="Q64" s="45"/>
      <c r="X64" s="473" t="s">
        <v>340</v>
      </c>
      <c r="Y64" s="468" t="e">
        <f>$AE$59/$AH$58</f>
        <v>#DIV/0!</v>
      </c>
      <c r="Z64" s="475" t="e">
        <f>1-$Y$64</f>
        <v>#DIV/0!</v>
      </c>
    </row>
    <row r="65" spans="4:26" customFormat="1" ht="18.600000000000001" customHeight="1" x14ac:dyDescent="0.3">
      <c r="D65" s="45"/>
      <c r="E65" s="45"/>
      <c r="F65" s="45"/>
      <c r="G65" s="45"/>
      <c r="H65" s="45"/>
      <c r="I65" s="45"/>
      <c r="J65" s="45"/>
      <c r="K65" s="45"/>
      <c r="L65" s="45"/>
      <c r="M65" s="45"/>
      <c r="N65" s="45"/>
      <c r="O65" s="45"/>
      <c r="P65" s="45"/>
      <c r="Q65" s="45"/>
      <c r="X65" s="466" t="s">
        <v>355</v>
      </c>
      <c r="Y65" s="468" t="e">
        <f>SUM($AE$59:$AF$59)/$AH$58</f>
        <v>#DIV/0!</v>
      </c>
      <c r="Z65" s="475" t="e">
        <f>1-$Y$65</f>
        <v>#DIV/0!</v>
      </c>
    </row>
    <row r="66" spans="4:26" customFormat="1" ht="18.600000000000001" customHeight="1" x14ac:dyDescent="0.3">
      <c r="X66" s="45"/>
      <c r="Y66" s="45"/>
      <c r="Z66" s="45"/>
    </row>
    <row r="67" spans="4:26" customFormat="1" ht="18.600000000000001" customHeight="1" x14ac:dyDescent="0.3">
      <c r="X67" s="422" t="s">
        <v>254</v>
      </c>
      <c r="Y67" s="422" t="s">
        <v>248</v>
      </c>
    </row>
    <row r="68" spans="4:26" customFormat="1" ht="18.600000000000001" customHeight="1" x14ac:dyDescent="0.3">
      <c r="X68" s="422" t="str">
        <f>AB55</f>
        <v>3HP</v>
      </c>
      <c r="Y68" s="467" t="e">
        <f>$AB$58/$AH$58</f>
        <v>#DIV/0!</v>
      </c>
    </row>
    <row r="69" spans="4:26" customFormat="1" ht="18.600000000000001" customHeight="1" x14ac:dyDescent="0.3">
      <c r="X69" s="422" t="str">
        <f>AC55</f>
        <v>6H</v>
      </c>
      <c r="Y69" s="467" t="e">
        <f>$AC$58/$AH$58</f>
        <v>#DIV/0!</v>
      </c>
    </row>
    <row r="70" spans="4:26" customFormat="1" ht="18.600000000000001" customHeight="1" x14ac:dyDescent="0.3">
      <c r="X70" s="295" t="str">
        <f>AD55</f>
        <v>Other</v>
      </c>
      <c r="Y70" s="468" t="e">
        <f>$AD$58/$AH$58</f>
        <v>#DIV/0!</v>
      </c>
    </row>
    <row r="71" spans="4:26" customFormat="1" ht="18.600000000000001" customHeight="1" x14ac:dyDescent="0.3">
      <c r="X71" s="295" t="s">
        <v>66</v>
      </c>
      <c r="Y71" s="468" t="e">
        <f>SUM($AB$58:$AD$58)/$AH$58</f>
        <v>#DIV/0!</v>
      </c>
    </row>
    <row r="72" spans="4:26" customFormat="1" ht="18.600000000000001" customHeight="1" x14ac:dyDescent="0.3"/>
    <row r="73" spans="4:26" customFormat="1" ht="18.600000000000001" customHeight="1" x14ac:dyDescent="0.3"/>
    <row r="74" spans="4:26" customFormat="1" ht="18.600000000000001" customHeight="1" x14ac:dyDescent="0.3"/>
    <row r="75" spans="4:26" customFormat="1" ht="18.600000000000001" customHeight="1" x14ac:dyDescent="0.3"/>
    <row r="76" spans="4:26" customFormat="1" ht="18.600000000000001" customHeight="1" x14ac:dyDescent="0.3"/>
    <row r="77" spans="4:26" customFormat="1" ht="18.600000000000001" customHeight="1" x14ac:dyDescent="0.3"/>
    <row r="78" spans="4:26" customFormat="1" ht="18.600000000000001" customHeight="1" x14ac:dyDescent="0.3"/>
    <row r="79" spans="4:26" customFormat="1" ht="15.6" customHeight="1" x14ac:dyDescent="0.3"/>
    <row r="80" spans="4:26" customFormat="1" ht="15.6" customHeight="1" x14ac:dyDescent="0.3"/>
    <row r="81" spans="4:24" customFormat="1" ht="15.6" customHeight="1" x14ac:dyDescent="0.3"/>
    <row r="82" spans="4:24" customFormat="1" ht="15.6" customHeight="1" x14ac:dyDescent="0.3">
      <c r="X82" s="45"/>
    </row>
    <row r="83" spans="4:24" customFormat="1" ht="15.6" customHeight="1" x14ac:dyDescent="0.3"/>
    <row r="84" spans="4:24" ht="15.6" customHeight="1" x14ac:dyDescent="0.3">
      <c r="D84"/>
      <c r="E84"/>
      <c r="F84"/>
      <c r="G84"/>
      <c r="H84"/>
      <c r="I84"/>
    </row>
    <row r="85" spans="4:24" ht="15.6" customHeight="1" x14ac:dyDescent="0.3">
      <c r="D85"/>
      <c r="E85"/>
      <c r="F85"/>
      <c r="G85"/>
      <c r="H85"/>
      <c r="I85"/>
    </row>
    <row r="86" spans="4:24" ht="15.6" customHeight="1" x14ac:dyDescent="0.3">
      <c r="D86"/>
      <c r="E86"/>
      <c r="F86"/>
      <c r="G86"/>
      <c r="H86"/>
      <c r="I86"/>
    </row>
    <row r="87" spans="4:24" ht="15.6" customHeight="1" x14ac:dyDescent="0.3">
      <c r="D87"/>
      <c r="E87"/>
      <c r="F87"/>
      <c r="G87"/>
      <c r="H87"/>
      <c r="I87"/>
    </row>
    <row r="88" spans="4:24" ht="15.6" customHeight="1" x14ac:dyDescent="0.3">
      <c r="D88"/>
      <c r="E88"/>
      <c r="F88"/>
      <c r="G88"/>
      <c r="H88"/>
      <c r="I88"/>
    </row>
    <row r="89" spans="4:24" ht="15.6" customHeight="1" x14ac:dyDescent="0.3">
      <c r="D89"/>
      <c r="E89"/>
      <c r="F89"/>
      <c r="G89"/>
      <c r="H89"/>
      <c r="I89"/>
    </row>
    <row r="97" spans="3:3" ht="15.6" customHeight="1" x14ac:dyDescent="0.3">
      <c r="C97"/>
    </row>
  </sheetData>
  <mergeCells count="162">
    <mergeCell ref="U3:V3"/>
    <mergeCell ref="Q5:T5"/>
    <mergeCell ref="AB4:AF4"/>
    <mergeCell ref="Y10:AA10"/>
    <mergeCell ref="Y11:AA11"/>
    <mergeCell ref="X3:AX3"/>
    <mergeCell ref="Y4:AA4"/>
    <mergeCell ref="AG4:AH4"/>
    <mergeCell ref="AI4:AK4"/>
    <mergeCell ref="AL4:AN4"/>
    <mergeCell ref="AO4:AQ4"/>
    <mergeCell ref="AR4:AS4"/>
    <mergeCell ref="AT4:AU4"/>
    <mergeCell ref="Y5:AA5"/>
    <mergeCell ref="Y6:AA6"/>
    <mergeCell ref="Y7:AA7"/>
    <mergeCell ref="Q6:T6"/>
    <mergeCell ref="Q7:T7"/>
    <mergeCell ref="F28:G28"/>
    <mergeCell ref="F29:G29"/>
    <mergeCell ref="F30:G30"/>
    <mergeCell ref="F31:G31"/>
    <mergeCell ref="F32:G32"/>
    <mergeCell ref="X13:X14"/>
    <mergeCell ref="Y8:AA8"/>
    <mergeCell ref="Y9:AA9"/>
    <mergeCell ref="D28:E28"/>
    <mergeCell ref="Y12:AA12"/>
    <mergeCell ref="H28:I28"/>
    <mergeCell ref="L28:M28"/>
    <mergeCell ref="H29:I29"/>
    <mergeCell ref="H30:I30"/>
    <mergeCell ref="H31:I31"/>
    <mergeCell ref="H32:I32"/>
    <mergeCell ref="L30:M30"/>
    <mergeCell ref="L31:M31"/>
    <mergeCell ref="Q8:T8"/>
    <mergeCell ref="Q9:T9"/>
    <mergeCell ref="Q10:T10"/>
    <mergeCell ref="N28:O28"/>
    <mergeCell ref="N29:O29"/>
    <mergeCell ref="N30:O30"/>
    <mergeCell ref="D33:E33"/>
    <mergeCell ref="D34:E34"/>
    <mergeCell ref="D35:E35"/>
    <mergeCell ref="D36:E36"/>
    <mergeCell ref="D37:E37"/>
    <mergeCell ref="D29:E29"/>
    <mergeCell ref="D30:E30"/>
    <mergeCell ref="D31:E31"/>
    <mergeCell ref="D32:E32"/>
    <mergeCell ref="F43:G43"/>
    <mergeCell ref="F44:G44"/>
    <mergeCell ref="F45:G45"/>
    <mergeCell ref="F46:G46"/>
    <mergeCell ref="F47:G47"/>
    <mergeCell ref="D43:E43"/>
    <mergeCell ref="D44:E44"/>
    <mergeCell ref="D38:E38"/>
    <mergeCell ref="D39:E39"/>
    <mergeCell ref="D40:E40"/>
    <mergeCell ref="D41:E41"/>
    <mergeCell ref="D42:E42"/>
    <mergeCell ref="F34:G34"/>
    <mergeCell ref="F35:G35"/>
    <mergeCell ref="F36:G36"/>
    <mergeCell ref="F37:G37"/>
    <mergeCell ref="F38:G38"/>
    <mergeCell ref="F39:G39"/>
    <mergeCell ref="F40:G40"/>
    <mergeCell ref="F41:G41"/>
    <mergeCell ref="F42:G42"/>
    <mergeCell ref="J28:K28"/>
    <mergeCell ref="J29:K29"/>
    <mergeCell ref="J30:K30"/>
    <mergeCell ref="J31:K31"/>
    <mergeCell ref="J32:K32"/>
    <mergeCell ref="J33:K33"/>
    <mergeCell ref="J34:K34"/>
    <mergeCell ref="J35:K35"/>
    <mergeCell ref="J36:K36"/>
    <mergeCell ref="N41:O41"/>
    <mergeCell ref="N42:O42"/>
    <mergeCell ref="L43:M43"/>
    <mergeCell ref="L44:M44"/>
    <mergeCell ref="N40:O40"/>
    <mergeCell ref="H33:I33"/>
    <mergeCell ref="H34:I34"/>
    <mergeCell ref="H35:I35"/>
    <mergeCell ref="H36:I36"/>
    <mergeCell ref="L40:M40"/>
    <mergeCell ref="L41:M41"/>
    <mergeCell ref="L42:M42"/>
    <mergeCell ref="J43:K43"/>
    <mergeCell ref="J44:K44"/>
    <mergeCell ref="J37:K37"/>
    <mergeCell ref="J38:K38"/>
    <mergeCell ref="J39:K39"/>
    <mergeCell ref="J40:K40"/>
    <mergeCell ref="J41:K41"/>
    <mergeCell ref="J42:K42"/>
    <mergeCell ref="L45:M45"/>
    <mergeCell ref="L46:M46"/>
    <mergeCell ref="D49:G49"/>
    <mergeCell ref="H49:K49"/>
    <mergeCell ref="L49:M49"/>
    <mergeCell ref="N49:O49"/>
    <mergeCell ref="N48:O48"/>
    <mergeCell ref="N43:O43"/>
    <mergeCell ref="N44:O44"/>
    <mergeCell ref="N45:O45"/>
    <mergeCell ref="N46:O46"/>
    <mergeCell ref="N47:O47"/>
    <mergeCell ref="L48:M48"/>
    <mergeCell ref="L47:M47"/>
    <mergeCell ref="J48:K48"/>
    <mergeCell ref="J46:K46"/>
    <mergeCell ref="J47:K47"/>
    <mergeCell ref="H48:I48"/>
    <mergeCell ref="D47:E47"/>
    <mergeCell ref="H43:I43"/>
    <mergeCell ref="H44:I44"/>
    <mergeCell ref="H45:I45"/>
    <mergeCell ref="H46:I46"/>
    <mergeCell ref="H47:I47"/>
    <mergeCell ref="F48:G48"/>
    <mergeCell ref="D45:E45"/>
    <mergeCell ref="D46:E46"/>
    <mergeCell ref="A44:A45"/>
    <mergeCell ref="A46:A47"/>
    <mergeCell ref="L32:M32"/>
    <mergeCell ref="L33:M33"/>
    <mergeCell ref="L34:M34"/>
    <mergeCell ref="L35:M35"/>
    <mergeCell ref="L36:M36"/>
    <mergeCell ref="J45:K45"/>
    <mergeCell ref="H37:I37"/>
    <mergeCell ref="H38:I38"/>
    <mergeCell ref="H39:I39"/>
    <mergeCell ref="H40:I40"/>
    <mergeCell ref="H41:I41"/>
    <mergeCell ref="H42:I42"/>
    <mergeCell ref="D48:E48"/>
    <mergeCell ref="F33:G33"/>
    <mergeCell ref="A41:A43"/>
    <mergeCell ref="A38:A40"/>
    <mergeCell ref="A35:A37"/>
    <mergeCell ref="A33:A34"/>
    <mergeCell ref="A28:A32"/>
    <mergeCell ref="L29:M29"/>
    <mergeCell ref="N31:O31"/>
    <mergeCell ref="N32:O32"/>
    <mergeCell ref="N33:O33"/>
    <mergeCell ref="N34:O34"/>
    <mergeCell ref="N35:O35"/>
    <mergeCell ref="N36:O36"/>
    <mergeCell ref="N37:O37"/>
    <mergeCell ref="N39:O39"/>
    <mergeCell ref="N38:O38"/>
    <mergeCell ref="L37:M37"/>
    <mergeCell ref="L38:M38"/>
    <mergeCell ref="L39:M3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6F0D6-6C15-4A78-832E-FFE119D3D5D2}">
  <sheetPr>
    <tabColor theme="0" tint="-0.499984740745262"/>
  </sheetPr>
  <dimension ref="B1:AE194"/>
  <sheetViews>
    <sheetView showGridLines="0" topLeftCell="A151" zoomScale="70" zoomScaleNormal="70" workbookViewId="0">
      <selection activeCell="U138" sqref="U138"/>
    </sheetView>
  </sheetViews>
  <sheetFormatPr defaultColWidth="8.88671875" defaultRowHeight="14.4" x14ac:dyDescent="0.3"/>
  <cols>
    <col min="1" max="1" width="2.5546875" style="45" customWidth="1"/>
    <col min="2" max="2" width="43.6640625" style="45" customWidth="1"/>
    <col min="3" max="3" width="8" style="6" customWidth="1"/>
    <col min="4" max="4" width="7.6640625" style="6" customWidth="1"/>
    <col min="5" max="6" width="8" style="6" customWidth="1"/>
    <col min="7" max="7" width="2.33203125" style="45" customWidth="1"/>
    <col min="8" max="9" width="8.88671875" style="45"/>
    <col min="10" max="10" width="10.33203125" style="45" customWidth="1"/>
    <col min="11" max="13" width="8.88671875" style="45"/>
    <col min="14" max="19" width="20.5546875" style="45" customWidth="1"/>
    <col min="20" max="20" width="18.6640625" customWidth="1"/>
    <col min="21" max="21" width="23.5546875" style="45" bestFit="1" customWidth="1"/>
    <col min="22" max="22" width="4.44140625" style="45" bestFit="1" customWidth="1"/>
    <col min="23" max="23" width="6.5546875" style="45" bestFit="1" customWidth="1"/>
    <col min="24" max="24" width="5.109375" style="45" bestFit="1" customWidth="1"/>
    <col min="25" max="25" width="6.5546875" style="45" bestFit="1" customWidth="1"/>
    <col min="26" max="27" width="6.5546875" style="45" customWidth="1"/>
    <col min="28" max="28" width="21.6640625" style="45" customWidth="1"/>
    <col min="29" max="29" width="21.109375" style="45" customWidth="1"/>
    <col min="30" max="30" width="19" style="45" customWidth="1"/>
    <col min="31" max="31" width="19.88671875" style="45" customWidth="1"/>
    <col min="32" max="32" width="24.109375" style="45" customWidth="1"/>
    <col min="33" max="33" width="18.109375" style="45" customWidth="1"/>
    <col min="34" max="34" width="18.33203125" style="45" customWidth="1"/>
    <col min="35" max="35" width="24.33203125" style="45" customWidth="1"/>
    <col min="36" max="47" width="8.6640625" style="45" customWidth="1"/>
    <col min="48" max="48" width="8.88671875" style="45"/>
    <col min="49" max="49" width="9.5546875" style="45" customWidth="1"/>
    <col min="50" max="50" width="25" style="45" customWidth="1"/>
    <col min="51" max="51" width="23.6640625" style="45" customWidth="1"/>
    <col min="52" max="52" width="24.44140625" style="45" customWidth="1"/>
    <col min="53" max="53" width="23.88671875" style="45" customWidth="1"/>
    <col min="54" max="54" width="26.109375" style="45" customWidth="1"/>
    <col min="55" max="16384" width="8.88671875" style="45"/>
  </cols>
  <sheetData>
    <row r="1" spans="2:27" s="52" customFormat="1" ht="29.4" customHeight="1" x14ac:dyDescent="0.3">
      <c r="B1" s="50" t="s">
        <v>196</v>
      </c>
      <c r="C1" s="51"/>
      <c r="D1" s="51"/>
      <c r="E1" s="51"/>
      <c r="F1" s="51"/>
    </row>
    <row r="2" spans="2:27" s="46" customFormat="1" ht="21.6" customHeight="1" x14ac:dyDescent="0.3">
      <c r="B2" s="418"/>
      <c r="C2" s="47"/>
      <c r="D2" s="47"/>
      <c r="E2" s="47"/>
      <c r="F2" s="47"/>
    </row>
    <row r="3" spans="2:27" s="46" customFormat="1" ht="33" customHeight="1" x14ac:dyDescent="0.3">
      <c r="B3" s="428" t="s">
        <v>315</v>
      </c>
      <c r="C3" s="429">
        <f>PLPresumptive[[#Totals],[Specimen Collection Documented]]</f>
        <v>0</v>
      </c>
      <c r="D3" s="47"/>
      <c r="E3" s="47"/>
      <c r="F3" s="47"/>
    </row>
    <row r="4" spans="2:27" s="46" customFormat="1" ht="33" customHeight="1" thickBot="1" x14ac:dyDescent="0.35">
      <c r="B4"/>
      <c r="C4"/>
      <c r="D4" s="47"/>
      <c r="E4" s="47"/>
      <c r="F4" s="47"/>
      <c r="T4" s="21"/>
    </row>
    <row r="5" spans="2:27" s="46" customFormat="1" ht="33" customHeight="1" x14ac:dyDescent="0.3">
      <c r="B5" s="682" t="s">
        <v>316</v>
      </c>
      <c r="C5" s="683"/>
      <c r="D5" s="683"/>
      <c r="E5" s="683"/>
      <c r="F5" s="683"/>
      <c r="G5" s="683"/>
      <c r="H5" s="683"/>
      <c r="I5" s="683"/>
      <c r="J5" s="683"/>
      <c r="K5" s="683"/>
      <c r="L5" s="683"/>
      <c r="M5" s="683"/>
      <c r="N5" s="683"/>
      <c r="O5" s="683"/>
      <c r="P5" s="683"/>
      <c r="Q5" s="683"/>
      <c r="R5" s="683"/>
      <c r="S5" s="684"/>
      <c r="T5" s="21"/>
    </row>
    <row r="6" spans="2:27" customFormat="1" ht="43.8" customHeight="1" x14ac:dyDescent="0.3">
      <c r="B6" s="111"/>
      <c r="C6" s="112"/>
      <c r="D6" s="112"/>
      <c r="E6" s="112"/>
      <c r="F6" s="112"/>
      <c r="G6" s="112"/>
      <c r="H6" s="112"/>
      <c r="I6" s="112"/>
      <c r="J6" s="112"/>
      <c r="K6" s="112"/>
      <c r="L6" s="112"/>
      <c r="M6" s="112"/>
      <c r="N6" s="471" t="s">
        <v>252</v>
      </c>
      <c r="O6" s="442" t="s">
        <v>325</v>
      </c>
      <c r="P6" s="442" t="s">
        <v>326</v>
      </c>
      <c r="Q6" s="442" t="s">
        <v>327</v>
      </c>
      <c r="R6" s="442" t="s">
        <v>328</v>
      </c>
      <c r="S6" s="448" t="s">
        <v>329</v>
      </c>
      <c r="T6" s="21"/>
    </row>
    <row r="7" spans="2:27" s="46" customFormat="1" ht="28.2" customHeight="1" x14ac:dyDescent="0.3">
      <c r="B7" s="434"/>
      <c r="C7" s="432"/>
      <c r="D7" s="27"/>
      <c r="E7" s="27"/>
      <c r="F7" s="27"/>
      <c r="G7" s="432"/>
      <c r="H7" s="432"/>
      <c r="I7" s="432"/>
      <c r="J7" s="432"/>
      <c r="K7" s="432"/>
      <c r="L7" s="432"/>
      <c r="M7" s="432"/>
      <c r="N7" s="420" t="s">
        <v>190</v>
      </c>
      <c r="O7" s="420" t="s">
        <v>320</v>
      </c>
      <c r="P7" s="420" t="s">
        <v>321</v>
      </c>
      <c r="Q7" s="420" t="s">
        <v>322</v>
      </c>
      <c r="R7" s="420" t="s">
        <v>323</v>
      </c>
      <c r="S7" s="498" t="s">
        <v>324</v>
      </c>
      <c r="T7" s="21"/>
    </row>
    <row r="8" spans="2:27" s="46" customFormat="1" ht="24" customHeight="1" x14ac:dyDescent="0.3">
      <c r="B8" s="436"/>
      <c r="C8" s="27"/>
      <c r="D8" s="27"/>
      <c r="E8" s="27"/>
      <c r="F8" s="27"/>
      <c r="G8" s="432"/>
      <c r="H8" s="432"/>
      <c r="I8" s="432"/>
      <c r="J8" s="432"/>
      <c r="K8" s="432"/>
      <c r="L8" s="432"/>
      <c r="M8" s="432"/>
      <c r="N8" s="419" t="s">
        <v>9</v>
      </c>
      <c r="O8" s="430" t="str">
        <f>IF(AND('6b. LAB REGISTER - PL'!F11&lt;&gt;0, '5b. PRESUMPTIVE REGISTER -  PL'!G14&lt;&gt;0),'6b. LAB REGISTER - PL'!F11-'5b. PRESUMPTIVE REGISTER -  PL'!G14, "-")</f>
        <v>-</v>
      </c>
      <c r="P8" s="430" t="str">
        <f>IF(AND('6b. LAB REGISTER - PL'!F11&lt;&gt;0,'6b. LAB REGISTER - PL'!N11&lt;&gt;0),'6b. LAB REGISTER - PL'!N11-'6b. LAB REGISTER - PL'!F11,"-")</f>
        <v>-</v>
      </c>
      <c r="Q8" s="430" t="str">
        <f>IF(AND('5b. PRESUMPTIVE REGISTER -  PL'!I14&lt;&gt;0,'5b. PRESUMPTIVE REGISTER -  PL'!G14&lt;&gt;0), '5b. PRESUMPTIVE REGISTER -  PL'!I14-'5b. PRESUMPTIVE REGISTER -  PL'!G14, "-")</f>
        <v>-</v>
      </c>
      <c r="R8" s="430" t="str">
        <f>IF(AND('7b. TB TX REGISTER - PL'!G8&lt;&gt;0,'5b. PRESUMPTIVE REGISTER -  PL'!G14&lt;&gt;0),'7b. TB TX REGISTER - PL'!G8 - '5b. PRESUMPTIVE REGISTER -  PL'!G14,"-")</f>
        <v>-</v>
      </c>
      <c r="S8" s="495" t="str">
        <f>IF(AND('8b. TPT REGISTER - PL'!H8&lt;&gt;0,'8b. TPT REGISTER - PL'!D8&lt;&gt;0),'8b. TPT REGISTER - PL'!H8 - '8b. TPT REGISTER - PL'!D8, "-")</f>
        <v>-</v>
      </c>
      <c r="T8" s="21"/>
    </row>
    <row r="9" spans="2:27" s="46" customFormat="1" ht="24" customHeight="1" x14ac:dyDescent="0.3">
      <c r="B9" s="436"/>
      <c r="C9" s="27"/>
      <c r="D9" s="27"/>
      <c r="E9" s="27"/>
      <c r="F9" s="27"/>
      <c r="G9" s="432"/>
      <c r="H9" s="432"/>
      <c r="I9" s="432"/>
      <c r="J9" s="432"/>
      <c r="K9" s="432"/>
      <c r="L9" s="432"/>
      <c r="M9" s="432"/>
      <c r="N9" s="421" t="s">
        <v>10</v>
      </c>
      <c r="O9" s="430" t="str">
        <f>IF(AND('6b. LAB REGISTER - PL'!F12&lt;&gt;0, '5b. PRESUMPTIVE REGISTER -  PL'!G15&lt;&gt;0),'6b. LAB REGISTER - PL'!F12-'5b. PRESUMPTIVE REGISTER -  PL'!G15, "-")</f>
        <v>-</v>
      </c>
      <c r="P9" s="430" t="str">
        <f>IF(AND('6b. LAB REGISTER - PL'!F12&lt;&gt;0,'6b. LAB REGISTER - PL'!N12&lt;&gt;0),'6b. LAB REGISTER - PL'!N12-'6b. LAB REGISTER - PL'!F12,"-")</f>
        <v>-</v>
      </c>
      <c r="Q9" s="430" t="str">
        <f>IF(AND('5b. PRESUMPTIVE REGISTER -  PL'!I15&lt;&gt;0,'5b. PRESUMPTIVE REGISTER -  PL'!G15&lt;&gt;0), '5b. PRESUMPTIVE REGISTER -  PL'!I15-'5b. PRESUMPTIVE REGISTER -  PL'!G15, "-")</f>
        <v>-</v>
      </c>
      <c r="R9" s="430" t="str">
        <f>IF(AND('7b. TB TX REGISTER - PL'!G9&lt;&gt;0,'5b. PRESUMPTIVE REGISTER -  PL'!G15&lt;&gt;0),'7b. TB TX REGISTER - PL'!G9 - '5b. PRESUMPTIVE REGISTER -  PL'!G15,"-")</f>
        <v>-</v>
      </c>
      <c r="S9" s="495" t="str">
        <f>IF(AND('8b. TPT REGISTER - PL'!H9&lt;&gt;0,'8b. TPT REGISTER - PL'!D9&lt;&gt;0),'8b. TPT REGISTER - PL'!H9 - '8b. TPT REGISTER - PL'!D9, "-")</f>
        <v>-</v>
      </c>
      <c r="T9" s="21"/>
    </row>
    <row r="10" spans="2:27" s="46" customFormat="1" ht="24" customHeight="1" x14ac:dyDescent="0.3">
      <c r="B10" s="436"/>
      <c r="C10" s="27"/>
      <c r="D10" s="27"/>
      <c r="E10" s="27"/>
      <c r="F10" s="27"/>
      <c r="G10" s="432"/>
      <c r="H10" s="432"/>
      <c r="I10" s="432"/>
      <c r="J10" s="432"/>
      <c r="K10" s="432"/>
      <c r="L10" s="432"/>
      <c r="M10" s="432"/>
      <c r="N10" s="419" t="s">
        <v>11</v>
      </c>
      <c r="O10" s="430" t="str">
        <f>IF(AND('6b. LAB REGISTER - PL'!F13&lt;&gt;0, '5b. PRESUMPTIVE REGISTER -  PL'!G16&lt;&gt;0),'6b. LAB REGISTER - PL'!F13-'5b. PRESUMPTIVE REGISTER -  PL'!G16, "-")</f>
        <v>-</v>
      </c>
      <c r="P10" s="430" t="str">
        <f>IF(AND('6b. LAB REGISTER - PL'!F13&lt;&gt;0,'6b. LAB REGISTER - PL'!N13&lt;&gt;0),'6b. LAB REGISTER - PL'!N13-'6b. LAB REGISTER - PL'!F13,"-")</f>
        <v>-</v>
      </c>
      <c r="Q10" s="430" t="str">
        <f>IF(AND('5b. PRESUMPTIVE REGISTER -  PL'!I16&lt;&gt;0,'5b. PRESUMPTIVE REGISTER -  PL'!G16&lt;&gt;0), '5b. PRESUMPTIVE REGISTER -  PL'!I16-'5b. PRESUMPTIVE REGISTER -  PL'!G16, "-")</f>
        <v>-</v>
      </c>
      <c r="R10" s="430" t="str">
        <f>IF(AND('7b. TB TX REGISTER - PL'!G10&lt;&gt;0,'5b. PRESUMPTIVE REGISTER -  PL'!G16&lt;&gt;0),'7b. TB TX REGISTER - PL'!G10 - '5b. PRESUMPTIVE REGISTER -  PL'!G16,"-")</f>
        <v>-</v>
      </c>
      <c r="S10" s="495" t="str">
        <f>IF(AND('8b. TPT REGISTER - PL'!H10&lt;&gt;0,'8b. TPT REGISTER - PL'!D10&lt;&gt;0),'8b. TPT REGISTER - PL'!H10 - '8b. TPT REGISTER - PL'!D10, "-")</f>
        <v>-</v>
      </c>
      <c r="T10" s="21"/>
      <c r="U10"/>
      <c r="V10"/>
      <c r="W10"/>
      <c r="X10"/>
      <c r="Y10"/>
      <c r="Z10"/>
      <c r="AA10"/>
    </row>
    <row r="11" spans="2:27" s="46" customFormat="1" ht="24" customHeight="1" x14ac:dyDescent="0.3">
      <c r="B11" s="436"/>
      <c r="C11" s="27"/>
      <c r="D11" s="27"/>
      <c r="E11" s="27"/>
      <c r="F11" s="27"/>
      <c r="G11" s="432"/>
      <c r="H11" s="432"/>
      <c r="I11" s="432"/>
      <c r="J11" s="432"/>
      <c r="K11" s="432"/>
      <c r="L11" s="432"/>
      <c r="M11" s="432"/>
      <c r="N11" s="419" t="s">
        <v>12</v>
      </c>
      <c r="O11" s="430" t="str">
        <f>IF(AND('6b. LAB REGISTER - PL'!F14&lt;&gt;0, '5b. PRESUMPTIVE REGISTER -  PL'!G17&lt;&gt;0),'6b. LAB REGISTER - PL'!F14-'5b. PRESUMPTIVE REGISTER -  PL'!G17, "-")</f>
        <v>-</v>
      </c>
      <c r="P11" s="430" t="str">
        <f>IF(AND('6b. LAB REGISTER - PL'!F14&lt;&gt;0,'6b. LAB REGISTER - PL'!N14&lt;&gt;0),'6b. LAB REGISTER - PL'!N14-'6b. LAB REGISTER - PL'!F14,"-")</f>
        <v>-</v>
      </c>
      <c r="Q11" s="430" t="str">
        <f>IF(AND('5b. PRESUMPTIVE REGISTER -  PL'!I17&lt;&gt;0,'5b. PRESUMPTIVE REGISTER -  PL'!G17&lt;&gt;0), '5b. PRESUMPTIVE REGISTER -  PL'!I17-'5b. PRESUMPTIVE REGISTER -  PL'!G17, "-")</f>
        <v>-</v>
      </c>
      <c r="R11" s="430" t="str">
        <f>IF(AND('7b. TB TX REGISTER - PL'!G11&lt;&gt;0,'5b. PRESUMPTIVE REGISTER -  PL'!G17&lt;&gt;0),'7b. TB TX REGISTER - PL'!G11 - '5b. PRESUMPTIVE REGISTER -  PL'!G17,"-")</f>
        <v>-</v>
      </c>
      <c r="S11" s="495" t="str">
        <f>IF(AND('8b. TPT REGISTER - PL'!H11&lt;&gt;0,'8b. TPT REGISTER - PL'!D11&lt;&gt;0),'8b. TPT REGISTER - PL'!H11 - '8b. TPT REGISTER - PL'!D11, "-")</f>
        <v>-</v>
      </c>
      <c r="T11" s="21"/>
      <c r="U11"/>
      <c r="V11"/>
      <c r="W11"/>
      <c r="X11"/>
      <c r="Y11"/>
      <c r="Z11"/>
      <c r="AA11"/>
    </row>
    <row r="12" spans="2:27" s="46" customFormat="1" ht="24" customHeight="1" x14ac:dyDescent="0.3">
      <c r="B12" s="436"/>
      <c r="C12" s="27"/>
      <c r="D12" s="27"/>
      <c r="E12" s="27"/>
      <c r="F12" s="27"/>
      <c r="G12" s="432"/>
      <c r="H12" s="432"/>
      <c r="I12" s="432"/>
      <c r="J12" s="432"/>
      <c r="K12" s="432"/>
      <c r="L12" s="432"/>
      <c r="M12" s="432"/>
      <c r="N12" s="419" t="s">
        <v>32</v>
      </c>
      <c r="O12" s="430" t="str">
        <f>IF(AND('6b. LAB REGISTER - PL'!F15&lt;&gt;0, '5b. PRESUMPTIVE REGISTER -  PL'!G18&lt;&gt;0),'6b. LAB REGISTER - PL'!F15-'5b. PRESUMPTIVE REGISTER -  PL'!G18, "-")</f>
        <v>-</v>
      </c>
      <c r="P12" s="430" t="str">
        <f>IF(AND('6b. LAB REGISTER - PL'!F15&lt;&gt;0,'6b. LAB REGISTER - PL'!N15&lt;&gt;0),'6b. LAB REGISTER - PL'!N15-'6b. LAB REGISTER - PL'!F15,"-")</f>
        <v>-</v>
      </c>
      <c r="Q12" s="430" t="str">
        <f>IF(AND('5b. PRESUMPTIVE REGISTER -  PL'!I18&lt;&gt;0,'5b. PRESUMPTIVE REGISTER -  PL'!G18&lt;&gt;0), '5b. PRESUMPTIVE REGISTER -  PL'!I18-'5b. PRESUMPTIVE REGISTER -  PL'!G18, "-")</f>
        <v>-</v>
      </c>
      <c r="R12" s="430" t="str">
        <f>IF(AND('7b. TB TX REGISTER - PL'!G12&lt;&gt;0,'5b. PRESUMPTIVE REGISTER -  PL'!G18&lt;&gt;0),'7b. TB TX REGISTER - PL'!G12 - '5b. PRESUMPTIVE REGISTER -  PL'!G18,"-")</f>
        <v>-</v>
      </c>
      <c r="S12" s="495" t="str">
        <f>IF(AND('8b. TPT REGISTER - PL'!H12&lt;&gt;0,'8b. TPT REGISTER - PL'!D12&lt;&gt;0),'8b. TPT REGISTER - PL'!H12 - '8b. TPT REGISTER - PL'!D12, "-")</f>
        <v>-</v>
      </c>
      <c r="T12" s="21"/>
      <c r="U12"/>
      <c r="V12"/>
      <c r="W12"/>
      <c r="X12"/>
      <c r="Y12"/>
      <c r="Z12"/>
      <c r="AA12"/>
    </row>
    <row r="13" spans="2:27" s="46" customFormat="1" ht="24" customHeight="1" x14ac:dyDescent="0.3">
      <c r="B13" s="436"/>
      <c r="C13" s="27"/>
      <c r="D13" s="27"/>
      <c r="E13" s="27"/>
      <c r="F13" s="27"/>
      <c r="G13" s="432"/>
      <c r="H13" s="432"/>
      <c r="I13" s="432"/>
      <c r="J13" s="432"/>
      <c r="K13" s="432"/>
      <c r="L13" s="432"/>
      <c r="M13" s="432"/>
      <c r="N13" s="419" t="s">
        <v>33</v>
      </c>
      <c r="O13" s="430" t="str">
        <f>IF(AND('6b. LAB REGISTER - PL'!F16&lt;&gt;0, '5b. PRESUMPTIVE REGISTER -  PL'!G19&lt;&gt;0),'6b. LAB REGISTER - PL'!F16-'5b. PRESUMPTIVE REGISTER -  PL'!G19, "-")</f>
        <v>-</v>
      </c>
      <c r="P13" s="430" t="str">
        <f>IF(AND('6b. LAB REGISTER - PL'!F16&lt;&gt;0,'6b. LAB REGISTER - PL'!N16&lt;&gt;0),'6b. LAB REGISTER - PL'!N16-'6b. LAB REGISTER - PL'!F16,"-")</f>
        <v>-</v>
      </c>
      <c r="Q13" s="430" t="str">
        <f>IF(AND('5b. PRESUMPTIVE REGISTER -  PL'!I19&lt;&gt;0,'5b. PRESUMPTIVE REGISTER -  PL'!G19&lt;&gt;0), '5b. PRESUMPTIVE REGISTER -  PL'!I19-'5b. PRESUMPTIVE REGISTER -  PL'!G19, "-")</f>
        <v>-</v>
      </c>
      <c r="R13" s="430" t="str">
        <f>IF(AND('7b. TB TX REGISTER - PL'!G13&lt;&gt;0,'5b. PRESUMPTIVE REGISTER -  PL'!G19&lt;&gt;0),'7b. TB TX REGISTER - PL'!G13 - '5b. PRESUMPTIVE REGISTER -  PL'!G19,"-")</f>
        <v>-</v>
      </c>
      <c r="S13" s="495" t="str">
        <f>IF(AND('8b. TPT REGISTER - PL'!H13&lt;&gt;0,'8b. TPT REGISTER - PL'!D13&lt;&gt;0),'8b. TPT REGISTER - PL'!H13 - '8b. TPT REGISTER - PL'!D13, "-")</f>
        <v>-</v>
      </c>
      <c r="T13" s="21"/>
      <c r="U13"/>
      <c r="V13"/>
      <c r="W13"/>
      <c r="X13"/>
      <c r="Y13"/>
      <c r="Z13"/>
      <c r="AA13"/>
    </row>
    <row r="14" spans="2:27" s="46" customFormat="1" ht="24" customHeight="1" x14ac:dyDescent="0.3">
      <c r="B14" s="436"/>
      <c r="C14" s="27"/>
      <c r="D14" s="27"/>
      <c r="E14" s="27"/>
      <c r="F14" s="27"/>
      <c r="G14" s="432"/>
      <c r="H14" s="432"/>
      <c r="I14" s="432"/>
      <c r="J14" s="432"/>
      <c r="K14" s="432"/>
      <c r="L14" s="432"/>
      <c r="M14" s="432"/>
      <c r="N14" s="419" t="s">
        <v>34</v>
      </c>
      <c r="O14" s="430" t="str">
        <f>IF(AND('6b. LAB REGISTER - PL'!F17&lt;&gt;0, '5b. PRESUMPTIVE REGISTER -  PL'!G20&lt;&gt;0),'6b. LAB REGISTER - PL'!F17-'5b. PRESUMPTIVE REGISTER -  PL'!G20, "-")</f>
        <v>-</v>
      </c>
      <c r="P14" s="430" t="str">
        <f>IF(AND('6b. LAB REGISTER - PL'!F17&lt;&gt;0,'6b. LAB REGISTER - PL'!N17&lt;&gt;0),'6b. LAB REGISTER - PL'!N17-'6b. LAB REGISTER - PL'!F17,"-")</f>
        <v>-</v>
      </c>
      <c r="Q14" s="430" t="str">
        <f>IF(AND('5b. PRESUMPTIVE REGISTER -  PL'!I20&lt;&gt;0,'5b. PRESUMPTIVE REGISTER -  PL'!G20&lt;&gt;0), '5b. PRESUMPTIVE REGISTER -  PL'!I20-'5b. PRESUMPTIVE REGISTER -  PL'!G20, "-")</f>
        <v>-</v>
      </c>
      <c r="R14" s="430" t="str">
        <f>IF(AND('7b. TB TX REGISTER - PL'!G14&lt;&gt;0,'5b. PRESUMPTIVE REGISTER -  PL'!G20&lt;&gt;0),'7b. TB TX REGISTER - PL'!G14 - '5b. PRESUMPTIVE REGISTER -  PL'!G20,"-")</f>
        <v>-</v>
      </c>
      <c r="S14" s="495" t="str">
        <f>IF(AND('8b. TPT REGISTER - PL'!H14&lt;&gt;0,'8b. TPT REGISTER - PL'!D14&lt;&gt;0),'8b. TPT REGISTER - PL'!H14 - '8b. TPT REGISTER - PL'!D14, "-")</f>
        <v>-</v>
      </c>
      <c r="T14" s="21"/>
      <c r="U14"/>
      <c r="V14"/>
      <c r="W14"/>
      <c r="X14"/>
      <c r="Y14"/>
      <c r="Z14"/>
      <c r="AA14"/>
    </row>
    <row r="15" spans="2:27" s="46" customFormat="1" ht="24" customHeight="1" x14ac:dyDescent="0.3">
      <c r="B15" s="436"/>
      <c r="C15" s="27"/>
      <c r="D15" s="27"/>
      <c r="E15" s="27"/>
      <c r="F15" s="27"/>
      <c r="G15" s="432"/>
      <c r="H15" s="432"/>
      <c r="I15" s="432"/>
      <c r="J15" s="432"/>
      <c r="K15" s="432"/>
      <c r="L15" s="432"/>
      <c r="M15" s="432"/>
      <c r="N15" s="419" t="s">
        <v>35</v>
      </c>
      <c r="O15" s="430" t="str">
        <f>IF(AND('6b. LAB REGISTER - PL'!F18&lt;&gt;0, '5b. PRESUMPTIVE REGISTER -  PL'!G21&lt;&gt;0),'6b. LAB REGISTER - PL'!F18-'5b. PRESUMPTIVE REGISTER -  PL'!G21, "-")</f>
        <v>-</v>
      </c>
      <c r="P15" s="430" t="str">
        <f>IF(AND('6b. LAB REGISTER - PL'!F18&lt;&gt;0,'6b. LAB REGISTER - PL'!N18&lt;&gt;0),'6b. LAB REGISTER - PL'!N18-'6b. LAB REGISTER - PL'!F18,"-")</f>
        <v>-</v>
      </c>
      <c r="Q15" s="430" t="str">
        <f>IF(AND('5b. PRESUMPTIVE REGISTER -  PL'!I21&lt;&gt;0,'5b. PRESUMPTIVE REGISTER -  PL'!G21&lt;&gt;0), '5b. PRESUMPTIVE REGISTER -  PL'!I21-'5b. PRESUMPTIVE REGISTER -  PL'!G21, "-")</f>
        <v>-</v>
      </c>
      <c r="R15" s="430" t="str">
        <f>IF(AND('7b. TB TX REGISTER - PL'!G15&lt;&gt;0,'5b. PRESUMPTIVE REGISTER -  PL'!G21&lt;&gt;0),'7b. TB TX REGISTER - PL'!G15 - '5b. PRESUMPTIVE REGISTER -  PL'!G21,"-")</f>
        <v>-</v>
      </c>
      <c r="S15" s="495" t="str">
        <f>IF(AND('8b. TPT REGISTER - PL'!H15&lt;&gt;0,'8b. TPT REGISTER - PL'!D15&lt;&gt;0),'8b. TPT REGISTER - PL'!H15 - '8b. TPT REGISTER - PL'!D15, "-")</f>
        <v>-</v>
      </c>
      <c r="T15" s="21"/>
      <c r="U15"/>
      <c r="V15"/>
      <c r="W15"/>
      <c r="X15"/>
      <c r="Y15"/>
      <c r="Z15"/>
      <c r="AA15"/>
    </row>
    <row r="16" spans="2:27" s="46" customFormat="1" ht="24" customHeight="1" x14ac:dyDescent="0.3">
      <c r="B16" s="436"/>
      <c r="C16" s="27"/>
      <c r="D16" s="27"/>
      <c r="E16" s="27"/>
      <c r="F16" s="27"/>
      <c r="G16" s="432"/>
      <c r="H16" s="432"/>
      <c r="I16" s="432"/>
      <c r="J16" s="432"/>
      <c r="K16" s="432"/>
      <c r="L16" s="432"/>
      <c r="M16" s="432"/>
      <c r="N16" s="419" t="s">
        <v>36</v>
      </c>
      <c r="O16" s="430" t="str">
        <f>IF(AND('6b. LAB REGISTER - PL'!F19&lt;&gt;0, '5b. PRESUMPTIVE REGISTER -  PL'!G22&lt;&gt;0),'6b. LAB REGISTER - PL'!F19-'5b. PRESUMPTIVE REGISTER -  PL'!G22, "-")</f>
        <v>-</v>
      </c>
      <c r="P16" s="430" t="str">
        <f>IF(AND('6b. LAB REGISTER - PL'!F19&lt;&gt;0,'6b. LAB REGISTER - PL'!N19&lt;&gt;0),'6b. LAB REGISTER - PL'!N19-'6b. LAB REGISTER - PL'!F19,"-")</f>
        <v>-</v>
      </c>
      <c r="Q16" s="430" t="str">
        <f>IF(AND('5b. PRESUMPTIVE REGISTER -  PL'!I22&lt;&gt;0,'5b. PRESUMPTIVE REGISTER -  PL'!G22&lt;&gt;0), '5b. PRESUMPTIVE REGISTER -  PL'!I22-'5b. PRESUMPTIVE REGISTER -  PL'!G22, "-")</f>
        <v>-</v>
      </c>
      <c r="R16" s="430" t="str">
        <f>IF(AND('7b. TB TX REGISTER - PL'!G16&lt;&gt;0,'5b. PRESUMPTIVE REGISTER -  PL'!G22&lt;&gt;0),'7b. TB TX REGISTER - PL'!G16 - '5b. PRESUMPTIVE REGISTER -  PL'!G22,"-")</f>
        <v>-</v>
      </c>
      <c r="S16" s="495" t="str">
        <f>IF(AND('8b. TPT REGISTER - PL'!H16&lt;&gt;0,'8b. TPT REGISTER - PL'!D16&lt;&gt;0),'8b. TPT REGISTER - PL'!H16 - '8b. TPT REGISTER - PL'!D16, "-")</f>
        <v>-</v>
      </c>
      <c r="T16" s="21"/>
    </row>
    <row r="17" spans="2:20" s="46" customFormat="1" ht="24" customHeight="1" x14ac:dyDescent="0.3">
      <c r="B17" s="436"/>
      <c r="C17" s="27"/>
      <c r="D17" s="27"/>
      <c r="E17" s="27"/>
      <c r="F17" s="27"/>
      <c r="G17" s="432"/>
      <c r="H17" s="432"/>
      <c r="I17" s="432"/>
      <c r="J17" s="432"/>
      <c r="K17" s="432"/>
      <c r="L17" s="432"/>
      <c r="M17" s="432"/>
      <c r="N17" s="419" t="s">
        <v>37</v>
      </c>
      <c r="O17" s="430" t="str">
        <f>IF(AND('6b. LAB REGISTER - PL'!F20&lt;&gt;0, '5b. PRESUMPTIVE REGISTER -  PL'!G23&lt;&gt;0),'6b. LAB REGISTER - PL'!F20-'5b. PRESUMPTIVE REGISTER -  PL'!G23, "-")</f>
        <v>-</v>
      </c>
      <c r="P17" s="430" t="str">
        <f>IF(AND('6b. LAB REGISTER - PL'!F20&lt;&gt;0,'6b. LAB REGISTER - PL'!N20&lt;&gt;0),'6b. LAB REGISTER - PL'!N20-'6b. LAB REGISTER - PL'!F20,"-")</f>
        <v>-</v>
      </c>
      <c r="Q17" s="430" t="str">
        <f>IF(AND('5b. PRESUMPTIVE REGISTER -  PL'!I23&lt;&gt;0,'5b. PRESUMPTIVE REGISTER -  PL'!G23&lt;&gt;0), '5b. PRESUMPTIVE REGISTER -  PL'!I23-'5b. PRESUMPTIVE REGISTER -  PL'!G23, "-")</f>
        <v>-</v>
      </c>
      <c r="R17" s="430" t="str">
        <f>IF(AND('7b. TB TX REGISTER - PL'!G17&lt;&gt;0,'5b. PRESUMPTIVE REGISTER -  PL'!G23&lt;&gt;0),'7b. TB TX REGISTER - PL'!G17 - '5b. PRESUMPTIVE REGISTER -  PL'!G23,"-")</f>
        <v>-</v>
      </c>
      <c r="S17" s="495" t="str">
        <f>IF(AND('8b. TPT REGISTER - PL'!H17&lt;&gt;0,'8b. TPT REGISTER - PL'!D17&lt;&gt;0),'8b. TPT REGISTER - PL'!H17 - '8b. TPT REGISTER - PL'!D17, "-")</f>
        <v>-</v>
      </c>
      <c r="T17" s="21"/>
    </row>
    <row r="18" spans="2:20" s="46" customFormat="1" ht="24" customHeight="1" x14ac:dyDescent="0.3">
      <c r="B18" s="436"/>
      <c r="C18" s="27"/>
      <c r="D18" s="27"/>
      <c r="E18" s="27"/>
      <c r="F18" s="27"/>
      <c r="G18" s="432"/>
      <c r="H18" s="432"/>
      <c r="I18" s="432"/>
      <c r="J18" s="432"/>
      <c r="K18" s="432"/>
      <c r="L18" s="432"/>
      <c r="M18" s="432"/>
      <c r="N18" s="419" t="s">
        <v>38</v>
      </c>
      <c r="O18" s="430" t="str">
        <f>IF(AND('6b. LAB REGISTER - PL'!F21&lt;&gt;0, '5b. PRESUMPTIVE REGISTER -  PL'!G24&lt;&gt;0),'6b. LAB REGISTER - PL'!F21-'5b. PRESUMPTIVE REGISTER -  PL'!G24, "-")</f>
        <v>-</v>
      </c>
      <c r="P18" s="430" t="str">
        <f>IF(AND('6b. LAB REGISTER - PL'!F21&lt;&gt;0,'6b. LAB REGISTER - PL'!N21&lt;&gt;0),'6b. LAB REGISTER - PL'!N21-'6b. LAB REGISTER - PL'!F21,"-")</f>
        <v>-</v>
      </c>
      <c r="Q18" s="430" t="str">
        <f>IF(AND('5b. PRESUMPTIVE REGISTER -  PL'!I24&lt;&gt;0,'5b. PRESUMPTIVE REGISTER -  PL'!G24&lt;&gt;0), '5b. PRESUMPTIVE REGISTER -  PL'!I24-'5b. PRESUMPTIVE REGISTER -  PL'!G24, "-")</f>
        <v>-</v>
      </c>
      <c r="R18" s="430" t="str">
        <f>IF(AND('7b. TB TX REGISTER - PL'!G18&lt;&gt;0,'5b. PRESUMPTIVE REGISTER -  PL'!G24&lt;&gt;0),'7b. TB TX REGISTER - PL'!G18 - '5b. PRESUMPTIVE REGISTER -  PL'!G24,"-")</f>
        <v>-</v>
      </c>
      <c r="S18" s="495" t="str">
        <f>IF(AND('8b. TPT REGISTER - PL'!H18&lt;&gt;0,'8b. TPT REGISTER - PL'!D18&lt;&gt;0),'8b. TPT REGISTER - PL'!H18 - '8b. TPT REGISTER - PL'!D18, "-")</f>
        <v>-</v>
      </c>
      <c r="T18" s="21"/>
    </row>
    <row r="19" spans="2:20" s="46" customFormat="1" ht="24" customHeight="1" x14ac:dyDescent="0.3">
      <c r="B19" s="436"/>
      <c r="C19" s="27"/>
      <c r="D19" s="27"/>
      <c r="E19" s="27"/>
      <c r="F19" s="27"/>
      <c r="G19" s="432"/>
      <c r="H19" s="432"/>
      <c r="I19" s="432"/>
      <c r="J19" s="432"/>
      <c r="K19" s="432"/>
      <c r="L19" s="432"/>
      <c r="M19" s="432"/>
      <c r="N19" s="419" t="s">
        <v>39</v>
      </c>
      <c r="O19" s="430" t="str">
        <f>IF(AND('6b. LAB REGISTER - PL'!F22&lt;&gt;0, '5b. PRESUMPTIVE REGISTER -  PL'!G25&lt;&gt;0),'6b. LAB REGISTER - PL'!F22-'5b. PRESUMPTIVE REGISTER -  PL'!G25, "-")</f>
        <v>-</v>
      </c>
      <c r="P19" s="430" t="str">
        <f>IF(AND('6b. LAB REGISTER - PL'!F22&lt;&gt;0,'6b. LAB REGISTER - PL'!N22&lt;&gt;0),'6b. LAB REGISTER - PL'!N22-'6b. LAB REGISTER - PL'!F22,"-")</f>
        <v>-</v>
      </c>
      <c r="Q19" s="430" t="str">
        <f>IF(AND('5b. PRESUMPTIVE REGISTER -  PL'!I25&lt;&gt;0,'5b. PRESUMPTIVE REGISTER -  PL'!G25&lt;&gt;0), '5b. PRESUMPTIVE REGISTER -  PL'!I25-'5b. PRESUMPTIVE REGISTER -  PL'!G25, "-")</f>
        <v>-</v>
      </c>
      <c r="R19" s="430" t="str">
        <f>IF(AND('7b. TB TX REGISTER - PL'!G19&lt;&gt;0,'5b. PRESUMPTIVE REGISTER -  PL'!G25&lt;&gt;0),'7b. TB TX REGISTER - PL'!G19 - '5b. PRESUMPTIVE REGISTER -  PL'!G25,"-")</f>
        <v>-</v>
      </c>
      <c r="S19" s="495" t="str">
        <f>IF(AND('8b. TPT REGISTER - PL'!H19&lt;&gt;0,'8b. TPT REGISTER - PL'!D19&lt;&gt;0),'8b. TPT REGISTER - PL'!H19 - '8b. TPT REGISTER - PL'!D19, "-")</f>
        <v>-</v>
      </c>
      <c r="T19" s="21"/>
    </row>
    <row r="20" spans="2:20" s="46" customFormat="1" ht="24" customHeight="1" x14ac:dyDescent="0.3">
      <c r="B20" s="436"/>
      <c r="C20" s="27"/>
      <c r="D20" s="27"/>
      <c r="E20" s="27"/>
      <c r="F20" s="27"/>
      <c r="G20" s="432"/>
      <c r="H20" s="432"/>
      <c r="I20" s="432"/>
      <c r="J20" s="432"/>
      <c r="K20" s="432"/>
      <c r="L20" s="432"/>
      <c r="M20" s="432"/>
      <c r="N20" s="419" t="s">
        <v>40</v>
      </c>
      <c r="O20" s="430" t="str">
        <f>IF(AND('6b. LAB REGISTER - PL'!F23&lt;&gt;0, '5b. PRESUMPTIVE REGISTER -  PL'!G26&lt;&gt;0),'6b. LAB REGISTER - PL'!F23-'5b. PRESUMPTIVE REGISTER -  PL'!G26, "-")</f>
        <v>-</v>
      </c>
      <c r="P20" s="430" t="str">
        <f>IF(AND('6b. LAB REGISTER - PL'!F23&lt;&gt;0,'6b. LAB REGISTER - PL'!N23&lt;&gt;0),'6b. LAB REGISTER - PL'!N23-'6b. LAB REGISTER - PL'!F23,"-")</f>
        <v>-</v>
      </c>
      <c r="Q20" s="430" t="str">
        <f>IF(AND('5b. PRESUMPTIVE REGISTER -  PL'!I26&lt;&gt;0,'5b. PRESUMPTIVE REGISTER -  PL'!G26&lt;&gt;0), '5b. PRESUMPTIVE REGISTER -  PL'!I26-'5b. PRESUMPTIVE REGISTER -  PL'!G26, "-")</f>
        <v>-</v>
      </c>
      <c r="R20" s="430" t="str">
        <f>IF(AND('7b. TB TX REGISTER - PL'!G20&lt;&gt;0,'5b. PRESUMPTIVE REGISTER -  PL'!G26&lt;&gt;0),'7b. TB TX REGISTER - PL'!G20 - '5b. PRESUMPTIVE REGISTER -  PL'!G26,"-")</f>
        <v>-</v>
      </c>
      <c r="S20" s="495" t="str">
        <f>IF(AND('8b. TPT REGISTER - PL'!H20&lt;&gt;0,'8b. TPT REGISTER - PL'!D20&lt;&gt;0),'8b. TPT REGISTER - PL'!H20 - '8b. TPT REGISTER - PL'!D20, "-")</f>
        <v>-</v>
      </c>
      <c r="T20" s="21"/>
    </row>
    <row r="21" spans="2:20" s="46" customFormat="1" ht="24" customHeight="1" x14ac:dyDescent="0.3">
      <c r="B21" s="436"/>
      <c r="C21" s="27"/>
      <c r="D21" s="27"/>
      <c r="E21" s="27"/>
      <c r="F21" s="27"/>
      <c r="G21" s="432"/>
      <c r="H21" s="432"/>
      <c r="I21" s="432"/>
      <c r="J21" s="432"/>
      <c r="K21" s="432"/>
      <c r="L21" s="432"/>
      <c r="M21" s="432"/>
      <c r="N21" s="419" t="s">
        <v>41</v>
      </c>
      <c r="O21" s="430" t="str">
        <f>IF(AND('6b. LAB REGISTER - PL'!F24&lt;&gt;0, '5b. PRESUMPTIVE REGISTER -  PL'!G27&lt;&gt;0),'6b. LAB REGISTER - PL'!F24-'5b. PRESUMPTIVE REGISTER -  PL'!G27, "-")</f>
        <v>-</v>
      </c>
      <c r="P21" s="431" t="str">
        <f>IF(AND('6b. LAB REGISTER - PL'!F24&lt;&gt;0,'6b. LAB REGISTER - PL'!N24&lt;&gt;0),'6b. LAB REGISTER - PL'!N24-'6b. LAB REGISTER - PL'!F24,"-")</f>
        <v>-</v>
      </c>
      <c r="Q21" s="431" t="str">
        <f>IF(AND('5b. PRESUMPTIVE REGISTER -  PL'!I27&lt;&gt;0,'5b. PRESUMPTIVE REGISTER -  PL'!G27&lt;&gt;0), '5b. PRESUMPTIVE REGISTER -  PL'!I27-'5b. PRESUMPTIVE REGISTER -  PL'!G27, "-")</f>
        <v>-</v>
      </c>
      <c r="R21" s="431" t="str">
        <f>IF(AND('7b. TB TX REGISTER - PL'!G21&lt;&gt;0,'5b. PRESUMPTIVE REGISTER -  PL'!G27&lt;&gt;0),'7b. TB TX REGISTER - PL'!G21 - '5b. PRESUMPTIVE REGISTER -  PL'!G27,"-")</f>
        <v>-</v>
      </c>
      <c r="S21" s="438" t="str">
        <f>IF(AND('8b. TPT REGISTER - PL'!H21&lt;&gt;0,'8b. TPT REGISTER - PL'!D21&lt;&gt;0),'8b. TPT REGISTER - PL'!H21 - '8b. TPT REGISTER - PL'!D21, "-")</f>
        <v>-</v>
      </c>
      <c r="T21" s="21"/>
    </row>
    <row r="22" spans="2:20" s="46" customFormat="1" ht="24" customHeight="1" x14ac:dyDescent="0.3">
      <c r="B22" s="436"/>
      <c r="C22" s="27"/>
      <c r="D22" s="27"/>
      <c r="E22" s="27"/>
      <c r="F22" s="27"/>
      <c r="G22" s="432"/>
      <c r="H22" s="432"/>
      <c r="I22" s="432"/>
      <c r="J22" s="432"/>
      <c r="K22" s="432"/>
      <c r="L22" s="432"/>
      <c r="M22" s="432"/>
      <c r="N22" s="421" t="s">
        <v>42</v>
      </c>
      <c r="O22" s="430" t="str">
        <f>IF(AND('6b. LAB REGISTER - PL'!F25&lt;&gt;0, '5b. PRESUMPTIVE REGISTER -  PL'!G28&lt;&gt;0),'6b. LAB REGISTER - PL'!F25-'5b. PRESUMPTIVE REGISTER -  PL'!G28, "-")</f>
        <v>-</v>
      </c>
      <c r="P22" s="431" t="str">
        <f>IF(AND('6b. LAB REGISTER - PL'!F25&lt;&gt;0,'6b. LAB REGISTER - PL'!N25&lt;&gt;0),'6b. LAB REGISTER - PL'!N25-'6b. LAB REGISTER - PL'!F25,"-")</f>
        <v>-</v>
      </c>
      <c r="Q22" s="431" t="str">
        <f>IF(AND('5b. PRESUMPTIVE REGISTER -  PL'!I28&lt;&gt;0,'5b. PRESUMPTIVE REGISTER -  PL'!G28&lt;&gt;0), '5b. PRESUMPTIVE REGISTER -  PL'!I28-'5b. PRESUMPTIVE REGISTER -  PL'!G28, "-")</f>
        <v>-</v>
      </c>
      <c r="R22" s="431" t="str">
        <f>IF(AND('7b. TB TX REGISTER - PL'!G22&lt;&gt;0,'5b. PRESUMPTIVE REGISTER -  PL'!G28&lt;&gt;0),'7b. TB TX REGISTER - PL'!G22 - '5b. PRESUMPTIVE REGISTER -  PL'!G28,"-")</f>
        <v>-</v>
      </c>
      <c r="S22" s="438" t="str">
        <f>IF(AND('8b. TPT REGISTER - PL'!H22&lt;&gt;0,'8b. TPT REGISTER - PL'!D22&lt;&gt;0),'8b. TPT REGISTER - PL'!H22 - '8b. TPT REGISTER - PL'!D22, "-")</f>
        <v>-</v>
      </c>
      <c r="T22" s="21"/>
    </row>
    <row r="23" spans="2:20" s="46" customFormat="1" ht="24" customHeight="1" x14ac:dyDescent="0.3">
      <c r="B23" s="436"/>
      <c r="C23" s="27"/>
      <c r="D23" s="27"/>
      <c r="E23" s="27"/>
      <c r="F23" s="27"/>
      <c r="G23" s="432"/>
      <c r="H23" s="432"/>
      <c r="I23" s="432"/>
      <c r="J23" s="432"/>
      <c r="K23" s="432"/>
      <c r="L23" s="432"/>
      <c r="M23" s="432"/>
      <c r="N23" s="421" t="s">
        <v>43</v>
      </c>
      <c r="O23" s="430" t="str">
        <f>IF(AND('6b. LAB REGISTER - PL'!F26&lt;&gt;0, '5b. PRESUMPTIVE REGISTER -  PL'!G29&lt;&gt;0),'6b. LAB REGISTER - PL'!F26-'5b. PRESUMPTIVE REGISTER -  PL'!G29, "-")</f>
        <v>-</v>
      </c>
      <c r="P23" s="431" t="str">
        <f>IF(AND('6b. LAB REGISTER - PL'!F26&lt;&gt;0,'6b. LAB REGISTER - PL'!N26&lt;&gt;0),'6b. LAB REGISTER - PL'!N26-'6b. LAB REGISTER - PL'!F26,"-")</f>
        <v>-</v>
      </c>
      <c r="Q23" s="431" t="str">
        <f>IF(AND('5b. PRESUMPTIVE REGISTER -  PL'!I29&lt;&gt;0,'5b. PRESUMPTIVE REGISTER -  PL'!G29&lt;&gt;0), '5b. PRESUMPTIVE REGISTER -  PL'!I29-'5b. PRESUMPTIVE REGISTER -  PL'!G29, "-")</f>
        <v>-</v>
      </c>
      <c r="R23" s="431" t="str">
        <f>IF(AND('7b. TB TX REGISTER - PL'!G23&lt;&gt;0,'5b. PRESUMPTIVE REGISTER -  PL'!G29&lt;&gt;0),'7b. TB TX REGISTER - PL'!G23 - '5b. PRESUMPTIVE REGISTER -  PL'!G29,"-")</f>
        <v>-</v>
      </c>
      <c r="S23" s="438" t="str">
        <f>IF(AND('8b. TPT REGISTER - PL'!H23&lt;&gt;0,'8b. TPT REGISTER - PL'!D23&lt;&gt;0),'8b. TPT REGISTER - PL'!H23 - '8b. TPT REGISTER - PL'!D23, "-")</f>
        <v>-</v>
      </c>
      <c r="T23" s="21"/>
    </row>
    <row r="24" spans="2:20" s="46" customFormat="1" ht="24" customHeight="1" x14ac:dyDescent="0.3">
      <c r="B24" s="436"/>
      <c r="C24" s="27"/>
      <c r="D24" s="27"/>
      <c r="E24" s="27"/>
      <c r="F24" s="27"/>
      <c r="G24" s="432"/>
      <c r="H24" s="432"/>
      <c r="I24" s="432"/>
      <c r="J24" s="432"/>
      <c r="K24" s="432"/>
      <c r="L24" s="432"/>
      <c r="M24" s="432"/>
      <c r="N24" s="421" t="s">
        <v>44</v>
      </c>
      <c r="O24" s="430" t="str">
        <f>IF(AND('6b. LAB REGISTER - PL'!F27&lt;&gt;0, '5b. PRESUMPTIVE REGISTER -  PL'!G30&lt;&gt;0),'6b. LAB REGISTER - PL'!F27-'5b. PRESUMPTIVE REGISTER -  PL'!G30, "-")</f>
        <v>-</v>
      </c>
      <c r="P24" s="431" t="str">
        <f>IF(AND('6b. LAB REGISTER - PL'!F27&lt;&gt;0,'6b. LAB REGISTER - PL'!N27&lt;&gt;0),'6b. LAB REGISTER - PL'!N27-'6b. LAB REGISTER - PL'!F27,"-")</f>
        <v>-</v>
      </c>
      <c r="Q24" s="431" t="str">
        <f>IF(AND('5b. PRESUMPTIVE REGISTER -  PL'!I30&lt;&gt;0,'5b. PRESUMPTIVE REGISTER -  PL'!G30&lt;&gt;0), '5b. PRESUMPTIVE REGISTER -  PL'!I30-'5b. PRESUMPTIVE REGISTER -  PL'!G30, "-")</f>
        <v>-</v>
      </c>
      <c r="R24" s="431" t="str">
        <f>IF(AND('7b. TB TX REGISTER - PL'!G24&lt;&gt;0,'5b. PRESUMPTIVE REGISTER -  PL'!G30&lt;&gt;0),'7b. TB TX REGISTER - PL'!G24 - '5b. PRESUMPTIVE REGISTER -  PL'!G30,"-")</f>
        <v>-</v>
      </c>
      <c r="S24" s="438" t="str">
        <f>IF(AND('8b. TPT REGISTER - PL'!H24&lt;&gt;0,'8b. TPT REGISTER - PL'!D24&lt;&gt;0),'8b. TPT REGISTER - PL'!H24 - '8b. TPT REGISTER - PL'!D24, "-")</f>
        <v>-</v>
      </c>
      <c r="T24" s="21"/>
    </row>
    <row r="25" spans="2:20" s="46" customFormat="1" ht="24" customHeight="1" x14ac:dyDescent="0.3">
      <c r="B25" s="436"/>
      <c r="C25" s="27"/>
      <c r="D25" s="27"/>
      <c r="E25" s="27"/>
      <c r="F25" s="27"/>
      <c r="G25" s="432"/>
      <c r="H25" s="432"/>
      <c r="I25" s="432"/>
      <c r="J25" s="432"/>
      <c r="K25" s="432"/>
      <c r="L25" s="432"/>
      <c r="M25" s="432"/>
      <c r="N25" s="421" t="s">
        <v>45</v>
      </c>
      <c r="O25" s="430" t="str">
        <f>IF(AND('6b. LAB REGISTER - PL'!F28&lt;&gt;0, '5b. PRESUMPTIVE REGISTER -  PL'!G31&lt;&gt;0),'6b. LAB REGISTER - PL'!F28-'5b. PRESUMPTIVE REGISTER -  PL'!G31, "-")</f>
        <v>-</v>
      </c>
      <c r="P25" s="431" t="str">
        <f>IF(AND('6b. LAB REGISTER - PL'!F28&lt;&gt;0,'6b. LAB REGISTER - PL'!N28&lt;&gt;0),'6b. LAB REGISTER - PL'!N28-'6b. LAB REGISTER - PL'!F28,"-")</f>
        <v>-</v>
      </c>
      <c r="Q25" s="431" t="str">
        <f>IF(AND('5b. PRESUMPTIVE REGISTER -  PL'!I31&lt;&gt;0,'5b. PRESUMPTIVE REGISTER -  PL'!G31&lt;&gt;0), '5b. PRESUMPTIVE REGISTER -  PL'!I31-'5b. PRESUMPTIVE REGISTER -  PL'!G31, "-")</f>
        <v>-</v>
      </c>
      <c r="R25" s="431" t="str">
        <f>IF(AND('7b. TB TX REGISTER - PL'!G25&lt;&gt;0,'5b. PRESUMPTIVE REGISTER -  PL'!G31&lt;&gt;0),'7b. TB TX REGISTER - PL'!G25 - '5b. PRESUMPTIVE REGISTER -  PL'!G31,"-")</f>
        <v>-</v>
      </c>
      <c r="S25" s="438" t="str">
        <f>IF(AND('8b. TPT REGISTER - PL'!H25&lt;&gt;0,'8b. TPT REGISTER - PL'!D25&lt;&gt;0),'8b. TPT REGISTER - PL'!H25 - '8b. TPT REGISTER - PL'!D25, "-")</f>
        <v>-</v>
      </c>
      <c r="T25" s="21"/>
    </row>
    <row r="26" spans="2:20" s="46" customFormat="1" ht="24" customHeight="1" x14ac:dyDescent="0.3">
      <c r="B26" s="436"/>
      <c r="C26" s="27"/>
      <c r="D26" s="27"/>
      <c r="E26" s="27"/>
      <c r="F26" s="27"/>
      <c r="G26" s="432"/>
      <c r="H26" s="432"/>
      <c r="I26" s="432"/>
      <c r="J26" s="432"/>
      <c r="K26" s="432"/>
      <c r="L26" s="432"/>
      <c r="M26" s="432"/>
      <c r="N26" s="421" t="s">
        <v>46</v>
      </c>
      <c r="O26" s="430" t="str">
        <f>IF(AND('6b. LAB REGISTER - PL'!F29&lt;&gt;0, '5b. PRESUMPTIVE REGISTER -  PL'!G32&lt;&gt;0),'6b. LAB REGISTER - PL'!F29-'5b. PRESUMPTIVE REGISTER -  PL'!G32, "-")</f>
        <v>-</v>
      </c>
      <c r="P26" s="431" t="str">
        <f>IF(AND('6b. LAB REGISTER - PL'!F29&lt;&gt;0,'6b. LAB REGISTER - PL'!N29&lt;&gt;0),'6b. LAB REGISTER - PL'!N29-'6b. LAB REGISTER - PL'!F29,"-")</f>
        <v>-</v>
      </c>
      <c r="Q26" s="431" t="str">
        <f>IF(AND('5b. PRESUMPTIVE REGISTER -  PL'!I32&lt;&gt;0,'5b. PRESUMPTIVE REGISTER -  PL'!G32&lt;&gt;0), '5b. PRESUMPTIVE REGISTER -  PL'!I32-'5b. PRESUMPTIVE REGISTER -  PL'!G32, "-")</f>
        <v>-</v>
      </c>
      <c r="R26" s="431" t="str">
        <f>IF(AND('7b. TB TX REGISTER - PL'!G26&lt;&gt;0,'5b. PRESUMPTIVE REGISTER -  PL'!G32&lt;&gt;0),'7b. TB TX REGISTER - PL'!G26 - '5b. PRESUMPTIVE REGISTER -  PL'!G32,"-")</f>
        <v>-</v>
      </c>
      <c r="S26" s="438" t="str">
        <f>IF(AND('8b. TPT REGISTER - PL'!H26&lt;&gt;0,'8b. TPT REGISTER - PL'!D26&lt;&gt;0),'8b. TPT REGISTER - PL'!H26 - '8b. TPT REGISTER - PL'!D26, "-")</f>
        <v>-</v>
      </c>
      <c r="T26" s="21"/>
    </row>
    <row r="27" spans="2:20" s="46" customFormat="1" ht="24" customHeight="1" x14ac:dyDescent="0.3">
      <c r="B27" s="436"/>
      <c r="C27" s="27"/>
      <c r="D27" s="27"/>
      <c r="E27" s="27"/>
      <c r="F27" s="27"/>
      <c r="G27" s="432"/>
      <c r="H27" s="432"/>
      <c r="I27" s="432"/>
      <c r="J27" s="432"/>
      <c r="K27" s="432"/>
      <c r="L27" s="432"/>
      <c r="M27" s="432"/>
      <c r="N27" s="421" t="s">
        <v>47</v>
      </c>
      <c r="O27" s="430" t="str">
        <f>IF(AND('6b. LAB REGISTER - PL'!F30&lt;&gt;0, '5b. PRESUMPTIVE REGISTER -  PL'!G33&lt;&gt;0),'6b. LAB REGISTER - PL'!F30-'5b. PRESUMPTIVE REGISTER -  PL'!G33, "-")</f>
        <v>-</v>
      </c>
      <c r="P27" s="431" t="str">
        <f>IF(AND('6b. LAB REGISTER - PL'!F30&lt;&gt;0,'6b. LAB REGISTER - PL'!N30&lt;&gt;0),'6b. LAB REGISTER - PL'!N30-'6b. LAB REGISTER - PL'!F30,"-")</f>
        <v>-</v>
      </c>
      <c r="Q27" s="431" t="str">
        <f>IF(AND('5b. PRESUMPTIVE REGISTER -  PL'!I33&lt;&gt;0,'5b. PRESUMPTIVE REGISTER -  PL'!G33&lt;&gt;0), '5b. PRESUMPTIVE REGISTER -  PL'!I33-'5b. PRESUMPTIVE REGISTER -  PL'!G33, "-")</f>
        <v>-</v>
      </c>
      <c r="R27" s="431" t="str">
        <f>IF(AND('7b. TB TX REGISTER - PL'!G27&lt;&gt;0,'5b. PRESUMPTIVE REGISTER -  PL'!G33&lt;&gt;0),'7b. TB TX REGISTER - PL'!G27 - '5b. PRESUMPTIVE REGISTER -  PL'!G33,"-")</f>
        <v>-</v>
      </c>
      <c r="S27" s="438" t="str">
        <f>IF(AND('8b. TPT REGISTER - PL'!H27&lt;&gt;0,'8b. TPT REGISTER - PL'!D27&lt;&gt;0),'8b. TPT REGISTER - PL'!H27 - '8b. TPT REGISTER - PL'!D27, "-")</f>
        <v>-</v>
      </c>
      <c r="T27" s="21"/>
    </row>
    <row r="28" spans="2:20" s="46" customFormat="1" ht="27" customHeight="1" thickBot="1" x14ac:dyDescent="0.35">
      <c r="B28" s="439"/>
      <c r="C28" s="440"/>
      <c r="D28" s="440"/>
      <c r="E28" s="440"/>
      <c r="F28" s="440"/>
      <c r="G28" s="441"/>
      <c r="H28" s="441"/>
      <c r="I28" s="441"/>
      <c r="J28" s="441"/>
      <c r="K28" s="441"/>
      <c r="L28" s="441"/>
      <c r="M28" s="441"/>
      <c r="N28" s="499" t="s">
        <v>92</v>
      </c>
      <c r="O28" s="500" t="str">
        <f>IF(ISNUMBER(AVERAGE(TAT_Overall[Specimen Transfer])), SUMIF(O8:O27,"&gt;-1")/$O$29, "NA")</f>
        <v>NA</v>
      </c>
      <c r="P28" s="500" t="str">
        <f>IF(ISNUMBER(AVERAGE(TAT_Overall[Lab Turnaround])), SUMIF(P8:P27,"&gt;-1")/$P$29, "NA")</f>
        <v>NA</v>
      </c>
      <c r="Q28" s="500" t="str">
        <f>IF(ISNUMBER(AVERAGE(TAT_Overall[Diagnosis])), SUMIF(Q8:Q27,"&gt;-1")/$Q$29, "NA")</f>
        <v>NA</v>
      </c>
      <c r="R28" s="500" t="str">
        <f>IF(ISNUMBER(AVERAGE(TAT_Overall[Treatment Initiation])), SUMIF(R8:R27,"&gt;-1")/$R$29, "NA")</f>
        <v>NA</v>
      </c>
      <c r="S28" s="501" t="str">
        <f>IF(ISNUMBER(AVERAGE(TAT_Overall[TPT Initiation])), SUMIF(S8:S27,"&gt;-1")/$S$29, "NA")</f>
        <v>NA</v>
      </c>
      <c r="T28" s="21"/>
    </row>
    <row r="29" spans="2:20" s="46" customFormat="1" ht="12" hidden="1" customHeight="1" x14ac:dyDescent="0.3">
      <c r="B29" s="418"/>
      <c r="C29" s="47"/>
      <c r="D29" s="47"/>
      <c r="E29" s="47"/>
      <c r="F29" s="47"/>
      <c r="N29" s="490" t="s">
        <v>222</v>
      </c>
      <c r="O29" s="99">
        <f>COUNTIF(O8:O27, "&lt;&gt;-")</f>
        <v>0</v>
      </c>
      <c r="P29" s="99">
        <f t="shared" ref="P29:S29" si="0">COUNTIF(P8:P27, "&lt;&gt;-")</f>
        <v>0</v>
      </c>
      <c r="Q29" s="99">
        <f t="shared" si="0"/>
        <v>0</v>
      </c>
      <c r="R29" s="99">
        <f t="shared" si="0"/>
        <v>0</v>
      </c>
      <c r="S29" s="99">
        <f t="shared" si="0"/>
        <v>0</v>
      </c>
    </row>
    <row r="30" spans="2:20" s="46" customFormat="1" ht="12" hidden="1" customHeight="1" x14ac:dyDescent="0.3">
      <c r="B30" s="418"/>
      <c r="C30" s="47"/>
      <c r="D30" s="47"/>
      <c r="E30" s="47"/>
      <c r="F30" s="47"/>
      <c r="N30" s="454" t="s">
        <v>312</v>
      </c>
      <c r="O30" s="457">
        <f>MIN(TAT_Overall[Specimen Transfer])</f>
        <v>0</v>
      </c>
      <c r="P30" s="460">
        <f>MIN(TAT_Overall[Lab Turnaround])</f>
        <v>0</v>
      </c>
      <c r="Q30" s="460">
        <f>MIN(TAT_Overall[Diagnosis])</f>
        <v>0</v>
      </c>
      <c r="R30" s="460">
        <f>MIN(TAT_Overall[Treatment Initiation])</f>
        <v>0</v>
      </c>
      <c r="S30" s="460">
        <f>MIN(TAT_Overall[TPT Initiation])</f>
        <v>0</v>
      </c>
    </row>
    <row r="31" spans="2:20" s="46" customFormat="1" ht="12" hidden="1" customHeight="1" x14ac:dyDescent="0.3">
      <c r="B31" s="418"/>
      <c r="C31" s="47"/>
      <c r="D31" s="47"/>
      <c r="E31" s="47"/>
      <c r="F31" s="47"/>
      <c r="N31" s="37" t="s">
        <v>313</v>
      </c>
      <c r="O31" s="460" t="e">
        <f>AVERAGE(TAT_Overall[Specimen Transfer])</f>
        <v>#DIV/0!</v>
      </c>
      <c r="P31" s="460" t="e">
        <f>AVERAGE(TAT_Overall[Lab Turnaround])</f>
        <v>#DIV/0!</v>
      </c>
      <c r="Q31" s="460" t="e">
        <f>AVERAGE(TAT_Overall[Diagnosis])</f>
        <v>#DIV/0!</v>
      </c>
      <c r="R31" s="460" t="e">
        <f>AVERAGE(TAT_Overall[Treatment Initiation])</f>
        <v>#DIV/0!</v>
      </c>
      <c r="S31" s="460" t="e">
        <f>AVERAGE(TAT_Overall[TPT Initiation])</f>
        <v>#DIV/0!</v>
      </c>
    </row>
    <row r="32" spans="2:20" s="46" customFormat="1" ht="12" hidden="1" customHeight="1" x14ac:dyDescent="0.3">
      <c r="B32" s="418"/>
      <c r="C32" s="47"/>
      <c r="D32" s="47"/>
      <c r="E32" s="47"/>
      <c r="F32" s="47"/>
      <c r="N32" s="37" t="s">
        <v>314</v>
      </c>
      <c r="O32" s="460">
        <f>MAX(TAT_Overall[Specimen Transfer])</f>
        <v>0</v>
      </c>
      <c r="P32" s="460">
        <f>MAX(TAT_Overall[Lab Turnaround])</f>
        <v>0</v>
      </c>
      <c r="Q32" s="460">
        <f>MAX(TAT_Overall[Diagnosis])</f>
        <v>0</v>
      </c>
      <c r="R32" s="460">
        <f>MAX(TAT_Overall[Treatment Initiation])</f>
        <v>0</v>
      </c>
      <c r="S32" s="460">
        <f>MAX(TAT_Overall[TPT Initiation])</f>
        <v>0</v>
      </c>
    </row>
    <row r="33" spans="2:31" s="46" customFormat="1" ht="12" hidden="1" customHeight="1" x14ac:dyDescent="0.3">
      <c r="B33" s="418"/>
      <c r="C33" s="47"/>
      <c r="D33" s="47"/>
      <c r="E33" s="47"/>
      <c r="F33" s="47"/>
      <c r="N33" s="37" t="s">
        <v>317</v>
      </c>
      <c r="O33" s="37">
        <v>2.5</v>
      </c>
      <c r="P33" s="457">
        <v>2</v>
      </c>
      <c r="Q33" s="37">
        <v>1.5</v>
      </c>
      <c r="R33" s="457">
        <v>1</v>
      </c>
      <c r="S33" s="457">
        <v>0.5</v>
      </c>
    </row>
    <row r="34" spans="2:31" s="46" customFormat="1" ht="12" hidden="1" customHeight="1" x14ac:dyDescent="0.3">
      <c r="B34" s="418"/>
      <c r="C34" s="47"/>
      <c r="D34" s="47"/>
      <c r="E34" s="47"/>
      <c r="F34" s="47"/>
      <c r="N34" s="37" t="s">
        <v>318</v>
      </c>
      <c r="O34" s="37">
        <v>2.5</v>
      </c>
      <c r="P34" s="457">
        <v>2</v>
      </c>
      <c r="Q34" s="37">
        <v>1.5</v>
      </c>
      <c r="R34" s="457">
        <v>1</v>
      </c>
      <c r="S34" s="457">
        <v>0.5</v>
      </c>
    </row>
    <row r="35" spans="2:31" s="46" customFormat="1" ht="12" hidden="1" customHeight="1" x14ac:dyDescent="0.3">
      <c r="B35" s="418"/>
      <c r="C35" s="47"/>
      <c r="D35" s="47"/>
      <c r="E35" s="47"/>
      <c r="F35" s="47"/>
      <c r="N35" s="37" t="s">
        <v>319</v>
      </c>
      <c r="O35" s="37">
        <v>2.5</v>
      </c>
      <c r="P35" s="457">
        <v>2</v>
      </c>
      <c r="Q35" s="37">
        <v>1.5</v>
      </c>
      <c r="R35" s="457">
        <v>1</v>
      </c>
      <c r="S35" s="457">
        <v>0.5</v>
      </c>
      <c r="T35"/>
    </row>
    <row r="36" spans="2:31" s="46" customFormat="1" ht="24" thickBot="1" x14ac:dyDescent="0.35">
      <c r="B36" s="418"/>
      <c r="C36" s="47"/>
      <c r="D36" s="47"/>
      <c r="E36" s="47"/>
      <c r="F36" s="47"/>
      <c r="N36" s="432"/>
      <c r="O36" s="27"/>
      <c r="P36" s="433"/>
      <c r="Q36" s="27"/>
      <c r="R36" s="433"/>
      <c r="S36" s="433"/>
      <c r="T36"/>
    </row>
    <row r="37" spans="2:31" ht="42.6" customHeight="1" x14ac:dyDescent="0.3">
      <c r="B37" s="679" t="s">
        <v>307</v>
      </c>
      <c r="C37" s="680"/>
      <c r="D37" s="680"/>
      <c r="E37" s="680"/>
      <c r="F37" s="680"/>
      <c r="G37" s="680"/>
      <c r="H37" s="680"/>
      <c r="I37" s="680"/>
      <c r="J37" s="680"/>
      <c r="K37" s="680"/>
      <c r="L37" s="680"/>
      <c r="M37" s="680"/>
      <c r="N37" s="680"/>
      <c r="O37" s="680"/>
      <c r="P37" s="680"/>
      <c r="Q37" s="680"/>
      <c r="R37" s="680"/>
      <c r="S37" s="680"/>
      <c r="T37" s="681"/>
    </row>
    <row r="38" spans="2:31" s="46" customFormat="1" ht="24.6" customHeight="1" x14ac:dyDescent="0.3">
      <c r="B38" s="434"/>
      <c r="C38" s="432"/>
      <c r="D38" s="27"/>
      <c r="E38" s="27"/>
      <c r="F38" s="27"/>
      <c r="G38" s="432"/>
      <c r="H38" s="432"/>
      <c r="I38" s="432"/>
      <c r="J38" s="432"/>
      <c r="K38" s="432"/>
      <c r="L38" s="432"/>
      <c r="M38" s="432"/>
      <c r="N38" s="503" t="s">
        <v>190</v>
      </c>
      <c r="O38" s="504" t="str">
        <f>IF('1. ASSESSMENT PROFILE'!D38&lt;&gt;"", '1. ASSESSMENT PROFILE'!D38,"")</f>
        <v/>
      </c>
      <c r="P38" s="504" t="str">
        <f>IF('1. ASSESSMENT PROFILE'!D39&lt;&gt;"", '1. ASSESSMENT PROFILE'!D39,"")</f>
        <v/>
      </c>
      <c r="Q38" s="504" t="str">
        <f>IF('1. ASSESSMENT PROFILE'!D40&lt;&gt;"", '1. ASSESSMENT PROFILE'!D40,"")</f>
        <v/>
      </c>
      <c r="R38" s="504" t="str">
        <f>IF('1. ASSESSMENT PROFILE'!D41&lt;&gt;"", '1. ASSESSMENT PROFILE'!D41,"")</f>
        <v/>
      </c>
      <c r="S38" s="504" t="str">
        <f>IF('1. ASSESSMENT PROFILE'!D42&lt;&gt;"", '1. ASSESSMENT PROFILE'!D42,"")</f>
        <v/>
      </c>
      <c r="T38" s="505" t="s">
        <v>306</v>
      </c>
      <c r="Y38"/>
      <c r="Z38"/>
      <c r="AA38"/>
    </row>
    <row r="39" spans="2:31" ht="24.6" customHeight="1" x14ac:dyDescent="0.3">
      <c r="B39" s="344"/>
      <c r="C39" s="7"/>
      <c r="D39" s="7"/>
      <c r="E39" s="7"/>
      <c r="F39" s="7"/>
      <c r="G39" s="472"/>
      <c r="H39" s="472"/>
      <c r="I39" s="472"/>
      <c r="J39" s="472"/>
      <c r="K39" s="472"/>
      <c r="L39" s="472"/>
      <c r="M39" s="472"/>
      <c r="N39" s="461" t="s">
        <v>9</v>
      </c>
      <c r="O39" s="462" t="str">
        <f>IF(AND('5b. PRESUMPTIVE REGISTER -  PL'!C14 = '3.2 TAT ANALYSIS'!$O$38,
'6b. LAB REGISTER - PL'!F11&lt;&gt;0,
'5b. PRESUMPTIVE REGISTER -  PL'!G14&lt;&gt;0),
'6b. LAB REGISTER - PL'!F11-'5b. PRESUMPTIVE REGISTER -  PL'!G14, "-")</f>
        <v>-</v>
      </c>
      <c r="P39" s="462" t="str">
        <f>IF(AND('5b. PRESUMPTIVE REGISTER -  PL'!C14 = '3.2 TAT ANALYSIS'!$P$38,
'6b. LAB REGISTER - PL'!F11&lt;&gt;0,
'5b. PRESUMPTIVE REGISTER -  PL'!G14&lt;&gt;0),
'6b. LAB REGISTER - PL'!F11-'5b. PRESUMPTIVE REGISTER -  PL'!G14, "-")</f>
        <v>-</v>
      </c>
      <c r="Q39" s="462" t="str">
        <f>IF(AND('5b. PRESUMPTIVE REGISTER -  PL'!C14 = '3.2 TAT ANALYSIS'!$Q$38,
'6b. LAB REGISTER - PL'!F11&lt;&gt;0,
'5b. PRESUMPTIVE REGISTER -  PL'!G14&lt;&gt;0),
'6b. LAB REGISTER - PL'!F11-'5b. PRESUMPTIVE REGISTER -  PL'!G14, "-")</f>
        <v>-</v>
      </c>
      <c r="R39" s="462" t="str">
        <f>IF(AND('5b. PRESUMPTIVE REGISTER -  PL'!C14 = '3.2 TAT ANALYSIS'!$R$38,
'6b. LAB REGISTER - PL'!F11&lt;&gt;0,
'5b. PRESUMPTIVE REGISTER -  PL'!G14&lt;&gt;0),
'6b. LAB REGISTER - PL'!F11-'5b. PRESUMPTIVE REGISTER -  PL'!G14, "-")</f>
        <v>-</v>
      </c>
      <c r="S39" s="462" t="str">
        <f>IF(AND('5b. PRESUMPTIVE REGISTER -  PL'!C14 = '3.2 TAT ANALYSIS'!$S$38,
'6b. LAB REGISTER - PL'!F11&lt;&gt;0,
'5b. PRESUMPTIVE REGISTER -  PL'!G14&lt;&gt;0),
'6b. LAB REGISTER - PL'!F11-'5b. PRESUMPTIVE REGISTER -  PL'!G14, "-")</f>
        <v>-</v>
      </c>
      <c r="T39" s="492" t="str">
        <f>IF(AND('6b. LAB REGISTER - PL'!F11&lt;&gt;0,
'5b. PRESUMPTIVE REGISTER -  PL'!G14&lt;&gt;0),
'6b. LAB REGISTER - PL'!F11-'5b. PRESUMPTIVE REGISTER -  PL'!G14, "-")</f>
        <v>-</v>
      </c>
      <c r="Y39"/>
      <c r="Z39"/>
      <c r="AA39"/>
      <c r="AE39"/>
    </row>
    <row r="40" spans="2:31" ht="24.6" customHeight="1" x14ac:dyDescent="0.3">
      <c r="B40" s="344"/>
      <c r="C40" s="7"/>
      <c r="D40" s="7"/>
      <c r="E40" s="7"/>
      <c r="F40" s="7"/>
      <c r="G40" s="472"/>
      <c r="H40" s="472"/>
      <c r="I40" s="472"/>
      <c r="J40" s="472"/>
      <c r="K40" s="472"/>
      <c r="L40" s="472"/>
      <c r="M40" s="472"/>
      <c r="N40" s="463" t="s">
        <v>10</v>
      </c>
      <c r="O40" s="462" t="str">
        <f>IF(AND('5b. PRESUMPTIVE REGISTER -  PL'!C15 = '3.2 TAT ANALYSIS'!$O$38,
'6b. LAB REGISTER - PL'!F12&lt;&gt;0,
'5b. PRESUMPTIVE REGISTER -  PL'!G15&lt;&gt;0),
'6b. LAB REGISTER - PL'!F12-'5b. PRESUMPTIVE REGISTER -  PL'!G15, "-")</f>
        <v>-</v>
      </c>
      <c r="P40" s="462" t="str">
        <f>IF(AND('5b. PRESUMPTIVE REGISTER -  PL'!C15 = '3.2 TAT ANALYSIS'!$P$38,
'6b. LAB REGISTER - PL'!F12&lt;&gt;0,
'5b. PRESUMPTIVE REGISTER -  PL'!G15&lt;&gt;0),
'6b. LAB REGISTER - PL'!F12-'5b. PRESUMPTIVE REGISTER -  PL'!G15, "-")</f>
        <v>-</v>
      </c>
      <c r="Q40" s="462" t="str">
        <f>IF(AND('5b. PRESUMPTIVE REGISTER -  PL'!C15 = '3.2 TAT ANALYSIS'!$Q$38,
'6b. LAB REGISTER - PL'!F12&lt;&gt;0,
'5b. PRESUMPTIVE REGISTER -  PL'!G15&lt;&gt;0),
'6b. LAB REGISTER - PL'!F12-'5b. PRESUMPTIVE REGISTER -  PL'!G15, "-")</f>
        <v>-</v>
      </c>
      <c r="R40" s="462" t="str">
        <f>IF(AND('5b. PRESUMPTIVE REGISTER -  PL'!C15 = '3.2 TAT ANALYSIS'!$R$38,
'6b. LAB REGISTER - PL'!F12&lt;&gt;0,
'5b. PRESUMPTIVE REGISTER -  PL'!G15&lt;&gt;0),
'6b. LAB REGISTER - PL'!F12-'5b. PRESUMPTIVE REGISTER -  PL'!G15, "-")</f>
        <v>-</v>
      </c>
      <c r="S40" s="462" t="str">
        <f>IF(AND('5b. PRESUMPTIVE REGISTER -  PL'!C15 = '3.2 TAT ANALYSIS'!$S$38,
'6b. LAB REGISTER - PL'!F12&lt;&gt;0,
'5b. PRESUMPTIVE REGISTER -  PL'!G15&lt;&gt;0),
'6b. LAB REGISTER - PL'!F12-'5b. PRESUMPTIVE REGISTER -  PL'!G15, "-")</f>
        <v>-</v>
      </c>
      <c r="T40" s="492" t="str">
        <f>IF(AND('6b. LAB REGISTER - PL'!F12&lt;&gt;0,
'5b. PRESUMPTIVE REGISTER -  PL'!G15&lt;&gt;0),
'6b. LAB REGISTER - PL'!F12-'5b. PRESUMPTIVE REGISTER -  PL'!G15, "-")</f>
        <v>-</v>
      </c>
      <c r="Y40"/>
      <c r="Z40"/>
      <c r="AA40"/>
      <c r="AE40"/>
    </row>
    <row r="41" spans="2:31" ht="24.6" customHeight="1" x14ac:dyDescent="0.3">
      <c r="B41" s="344"/>
      <c r="C41" s="7"/>
      <c r="D41" s="7"/>
      <c r="E41" s="7"/>
      <c r="F41" s="7"/>
      <c r="G41" s="472"/>
      <c r="H41" s="472"/>
      <c r="I41" s="472"/>
      <c r="J41" s="472"/>
      <c r="K41" s="472"/>
      <c r="L41" s="472"/>
      <c r="M41" s="472"/>
      <c r="N41" s="461" t="s">
        <v>11</v>
      </c>
      <c r="O41" s="462" t="str">
        <f>IF(AND('5b. PRESUMPTIVE REGISTER -  PL'!C16 = '3.2 TAT ANALYSIS'!$O$38,
'6b. LAB REGISTER - PL'!F13&lt;&gt;0,
'5b. PRESUMPTIVE REGISTER -  PL'!G16&lt;&gt;0),
'6b. LAB REGISTER - PL'!F13-'5b. PRESUMPTIVE REGISTER -  PL'!G16, "-")</f>
        <v>-</v>
      </c>
      <c r="P41" s="462" t="str">
        <f>IF(AND('5b. PRESUMPTIVE REGISTER -  PL'!C16 = '3.2 TAT ANALYSIS'!$P$38,
'6b. LAB REGISTER - PL'!F13&lt;&gt;0,
'5b. PRESUMPTIVE REGISTER -  PL'!G16&lt;&gt;0),
'6b. LAB REGISTER - PL'!F13-'5b. PRESUMPTIVE REGISTER -  PL'!G16, "-")</f>
        <v>-</v>
      </c>
      <c r="Q41" s="462" t="str">
        <f>IF(AND('5b. PRESUMPTIVE REGISTER -  PL'!C16 = '3.2 TAT ANALYSIS'!$Q$38,
'6b. LAB REGISTER - PL'!F13&lt;&gt;0,
'5b. PRESUMPTIVE REGISTER -  PL'!G16&lt;&gt;0),
'6b. LAB REGISTER - PL'!F13-'5b. PRESUMPTIVE REGISTER -  PL'!G16, "-")</f>
        <v>-</v>
      </c>
      <c r="R41" s="462" t="str">
        <f>IF(AND('5b. PRESUMPTIVE REGISTER -  PL'!C16 = '3.2 TAT ANALYSIS'!$R$38,
'6b. LAB REGISTER - PL'!F13&lt;&gt;0,
'5b. PRESUMPTIVE REGISTER -  PL'!G16&lt;&gt;0),
'6b. LAB REGISTER - PL'!F13-'5b. PRESUMPTIVE REGISTER -  PL'!G16, "-")</f>
        <v>-</v>
      </c>
      <c r="S41" s="462" t="str">
        <f>IF(AND('5b. PRESUMPTIVE REGISTER -  PL'!C16 = '3.2 TAT ANALYSIS'!$S$38,
'6b. LAB REGISTER - PL'!F13&lt;&gt;0,
'5b. PRESUMPTIVE REGISTER -  PL'!G16&lt;&gt;0),
'6b. LAB REGISTER - PL'!F13-'5b. PRESUMPTIVE REGISTER -  PL'!G16, "-")</f>
        <v>-</v>
      </c>
      <c r="T41" s="492" t="str">
        <f>IF(AND('6b. LAB REGISTER - PL'!F13&lt;&gt;0,
'5b. PRESUMPTIVE REGISTER -  PL'!G16&lt;&gt;0),
'6b. LAB REGISTER - PL'!F13-'5b. PRESUMPTIVE REGISTER -  PL'!G16, "-")</f>
        <v>-</v>
      </c>
      <c r="Y41"/>
      <c r="Z41"/>
      <c r="AA41"/>
    </row>
    <row r="42" spans="2:31" ht="24.6" customHeight="1" x14ac:dyDescent="0.3">
      <c r="B42" s="344"/>
      <c r="C42" s="7"/>
      <c r="D42" s="7"/>
      <c r="E42" s="7"/>
      <c r="F42" s="7"/>
      <c r="G42" s="472"/>
      <c r="H42" s="472"/>
      <c r="I42" s="472"/>
      <c r="J42" s="472"/>
      <c r="K42" s="472"/>
      <c r="L42" s="472"/>
      <c r="M42" s="472"/>
      <c r="N42" s="461" t="s">
        <v>12</v>
      </c>
      <c r="O42" s="462" t="str">
        <f>IF(AND('5b. PRESUMPTIVE REGISTER -  PL'!C17 = '3.2 TAT ANALYSIS'!$O$38,
'6b. LAB REGISTER - PL'!F14&lt;&gt;0,
'5b. PRESUMPTIVE REGISTER -  PL'!G17&lt;&gt;0),
'6b. LAB REGISTER - PL'!F14-'5b. PRESUMPTIVE REGISTER -  PL'!G17, "-")</f>
        <v>-</v>
      </c>
      <c r="P42" s="462" t="str">
        <f>IF(AND('5b. PRESUMPTIVE REGISTER -  PL'!C17 = '3.2 TAT ANALYSIS'!$P$38,
'6b. LAB REGISTER - PL'!F14&lt;&gt;0,
'5b. PRESUMPTIVE REGISTER -  PL'!G17&lt;&gt;0),
'6b. LAB REGISTER - PL'!F14-'5b. PRESUMPTIVE REGISTER -  PL'!G17, "-")</f>
        <v>-</v>
      </c>
      <c r="Q42" s="462" t="str">
        <f>IF(AND('5b. PRESUMPTIVE REGISTER -  PL'!C17 = '3.2 TAT ANALYSIS'!$Q$38,
'6b. LAB REGISTER - PL'!F14&lt;&gt;0,
'5b. PRESUMPTIVE REGISTER -  PL'!G17&lt;&gt;0),
'6b. LAB REGISTER - PL'!F14-'5b. PRESUMPTIVE REGISTER -  PL'!G17, "-")</f>
        <v>-</v>
      </c>
      <c r="R42" s="462" t="str">
        <f>IF(AND('5b. PRESUMPTIVE REGISTER -  PL'!C17 = '3.2 TAT ANALYSIS'!$R$38,
'6b. LAB REGISTER - PL'!F14&lt;&gt;0,
'5b. PRESUMPTIVE REGISTER -  PL'!G17&lt;&gt;0),
'6b. LAB REGISTER - PL'!F14-'5b. PRESUMPTIVE REGISTER -  PL'!G17, "-")</f>
        <v>-</v>
      </c>
      <c r="S42" s="462" t="str">
        <f>IF(AND('5b. PRESUMPTIVE REGISTER -  PL'!C17 = '3.2 TAT ANALYSIS'!$S$38,
'6b. LAB REGISTER - PL'!F14&lt;&gt;0,
'5b. PRESUMPTIVE REGISTER -  PL'!G17&lt;&gt;0),
'6b. LAB REGISTER - PL'!F14-'5b. PRESUMPTIVE REGISTER -  PL'!G17, "-")</f>
        <v>-</v>
      </c>
      <c r="T42" s="492" t="str">
        <f>IF(AND('6b. LAB REGISTER - PL'!F14&lt;&gt;0,
'5b. PRESUMPTIVE REGISTER -  PL'!G17&lt;&gt;0),
'6b. LAB REGISTER - PL'!F14-'5b. PRESUMPTIVE REGISTER -  PL'!G17, "-")</f>
        <v>-</v>
      </c>
      <c r="Y42"/>
      <c r="Z42"/>
      <c r="AA42"/>
    </row>
    <row r="43" spans="2:31" ht="24.6" customHeight="1" x14ac:dyDescent="0.3">
      <c r="B43" s="344"/>
      <c r="C43" s="7"/>
      <c r="D43" s="7"/>
      <c r="E43" s="7"/>
      <c r="F43" s="7"/>
      <c r="G43" s="472"/>
      <c r="H43" s="472"/>
      <c r="I43" s="472"/>
      <c r="J43" s="472"/>
      <c r="K43" s="472"/>
      <c r="L43" s="472"/>
      <c r="M43" s="472"/>
      <c r="N43" s="461" t="s">
        <v>32</v>
      </c>
      <c r="O43" s="462" t="str">
        <f>IF(AND('5b. PRESUMPTIVE REGISTER -  PL'!C18 = '3.2 TAT ANALYSIS'!$O$38,
'6b. LAB REGISTER - PL'!F15&lt;&gt;0,
'5b. PRESUMPTIVE REGISTER -  PL'!G18&lt;&gt;0),
'6b. LAB REGISTER - PL'!F15-'5b. PRESUMPTIVE REGISTER -  PL'!G18, "-")</f>
        <v>-</v>
      </c>
      <c r="P43" s="462" t="str">
        <f>IF(AND('5b. PRESUMPTIVE REGISTER -  PL'!C18 = '3.2 TAT ANALYSIS'!$P$38,
'6b. LAB REGISTER - PL'!F15&lt;&gt;0,
'5b. PRESUMPTIVE REGISTER -  PL'!G18&lt;&gt;0),
'6b. LAB REGISTER - PL'!F15-'5b. PRESUMPTIVE REGISTER -  PL'!G18, "-")</f>
        <v>-</v>
      </c>
      <c r="Q43" s="462" t="str">
        <f>IF(AND('5b. PRESUMPTIVE REGISTER -  PL'!C18 = '3.2 TAT ANALYSIS'!$Q$38,
'6b. LAB REGISTER - PL'!F15&lt;&gt;0,
'5b. PRESUMPTIVE REGISTER -  PL'!G18&lt;&gt;0),
'6b. LAB REGISTER - PL'!F15-'5b. PRESUMPTIVE REGISTER -  PL'!G18, "-")</f>
        <v>-</v>
      </c>
      <c r="R43" s="462" t="str">
        <f>IF(AND('5b. PRESUMPTIVE REGISTER -  PL'!C18 = '3.2 TAT ANALYSIS'!$R$38,
'6b. LAB REGISTER - PL'!F15&lt;&gt;0,
'5b. PRESUMPTIVE REGISTER -  PL'!G18&lt;&gt;0),
'6b. LAB REGISTER - PL'!F15-'5b. PRESUMPTIVE REGISTER -  PL'!G18, "-")</f>
        <v>-</v>
      </c>
      <c r="S43" s="462" t="str">
        <f>IF(AND('5b. PRESUMPTIVE REGISTER -  PL'!C18 = '3.2 TAT ANALYSIS'!$S$38,
'6b. LAB REGISTER - PL'!F15&lt;&gt;0,
'5b. PRESUMPTIVE REGISTER -  PL'!G18&lt;&gt;0),
'6b. LAB REGISTER - PL'!F15-'5b. PRESUMPTIVE REGISTER -  PL'!G18, "-")</f>
        <v>-</v>
      </c>
      <c r="T43" s="492" t="str">
        <f>IF(AND('6b. LAB REGISTER - PL'!F15&lt;&gt;0,
'5b. PRESUMPTIVE REGISTER -  PL'!G18&lt;&gt;0),
'6b. LAB REGISTER - PL'!F15-'5b. PRESUMPTIVE REGISTER -  PL'!G18, "-")</f>
        <v>-</v>
      </c>
      <c r="Y43"/>
      <c r="Z43"/>
      <c r="AA43"/>
    </row>
    <row r="44" spans="2:31" ht="24.6" customHeight="1" x14ac:dyDescent="0.3">
      <c r="B44" s="344"/>
      <c r="C44" s="7"/>
      <c r="D44" s="7"/>
      <c r="E44" s="7"/>
      <c r="F44" s="7"/>
      <c r="G44" s="472"/>
      <c r="H44" s="472"/>
      <c r="I44" s="472"/>
      <c r="J44" s="472"/>
      <c r="K44" s="472"/>
      <c r="L44" s="472"/>
      <c r="M44" s="472"/>
      <c r="N44" s="461" t="s">
        <v>33</v>
      </c>
      <c r="O44" s="462" t="str">
        <f>IF(AND('5b. PRESUMPTIVE REGISTER -  PL'!C19 = '3.2 TAT ANALYSIS'!$O$38,
'6b. LAB REGISTER - PL'!F16&lt;&gt;0,
'5b. PRESUMPTIVE REGISTER -  PL'!G19&lt;&gt;0),
'6b. LAB REGISTER - PL'!F16-'5b. PRESUMPTIVE REGISTER -  PL'!G19, "-")</f>
        <v>-</v>
      </c>
      <c r="P44" s="462" t="str">
        <f>IF(AND('5b. PRESUMPTIVE REGISTER -  PL'!C19 = '3.2 TAT ANALYSIS'!$P$38,
'6b. LAB REGISTER - PL'!F16&lt;&gt;0,
'5b. PRESUMPTIVE REGISTER -  PL'!G19&lt;&gt;0),
'6b. LAB REGISTER - PL'!F16-'5b. PRESUMPTIVE REGISTER -  PL'!G19, "-")</f>
        <v>-</v>
      </c>
      <c r="Q44" s="462" t="str">
        <f>IF(AND('5b. PRESUMPTIVE REGISTER -  PL'!C19 = '3.2 TAT ANALYSIS'!$Q$38,
'6b. LAB REGISTER - PL'!F16&lt;&gt;0,
'5b. PRESUMPTIVE REGISTER -  PL'!G19&lt;&gt;0),
'6b. LAB REGISTER - PL'!F16-'5b. PRESUMPTIVE REGISTER -  PL'!G19, "-")</f>
        <v>-</v>
      </c>
      <c r="R44" s="462" t="str">
        <f>IF(AND('5b. PRESUMPTIVE REGISTER -  PL'!C19 = '3.2 TAT ANALYSIS'!$R$38,
'6b. LAB REGISTER - PL'!F16&lt;&gt;0,
'5b. PRESUMPTIVE REGISTER -  PL'!G19&lt;&gt;0),
'6b. LAB REGISTER - PL'!F16-'5b. PRESUMPTIVE REGISTER -  PL'!G19, "-")</f>
        <v>-</v>
      </c>
      <c r="S44" s="462" t="str">
        <f>IF(AND('5b. PRESUMPTIVE REGISTER -  PL'!C19 = '3.2 TAT ANALYSIS'!$S$38,
'6b. LAB REGISTER - PL'!F16&lt;&gt;0,
'5b. PRESUMPTIVE REGISTER -  PL'!G19&lt;&gt;0),
'6b. LAB REGISTER - PL'!F16-'5b. PRESUMPTIVE REGISTER -  PL'!G19, "-")</f>
        <v>-</v>
      </c>
      <c r="T44" s="492" t="str">
        <f>IF(AND('6b. LAB REGISTER - PL'!F16&lt;&gt;0,
'5b. PRESUMPTIVE REGISTER -  PL'!G19&lt;&gt;0),
'6b. LAB REGISTER - PL'!F16-'5b. PRESUMPTIVE REGISTER -  PL'!G19, "-")</f>
        <v>-</v>
      </c>
      <c r="Y44"/>
      <c r="Z44"/>
      <c r="AA44"/>
    </row>
    <row r="45" spans="2:31" ht="24.6" customHeight="1" x14ac:dyDescent="0.3">
      <c r="B45" s="344"/>
      <c r="C45" s="7"/>
      <c r="D45" s="7"/>
      <c r="E45" s="7"/>
      <c r="F45" s="7"/>
      <c r="G45" s="472"/>
      <c r="H45" s="472"/>
      <c r="I45" s="472"/>
      <c r="J45" s="472"/>
      <c r="K45" s="472"/>
      <c r="L45" s="472"/>
      <c r="M45" s="472"/>
      <c r="N45" s="461" t="s">
        <v>34</v>
      </c>
      <c r="O45" s="462" t="str">
        <f>IF(AND('5b. PRESUMPTIVE REGISTER -  PL'!C20 = '3.2 TAT ANALYSIS'!$O$38,
'6b. LAB REGISTER - PL'!F17&lt;&gt;0,
'5b. PRESUMPTIVE REGISTER -  PL'!G20&lt;&gt;0),
'6b. LAB REGISTER - PL'!F17-'5b. PRESUMPTIVE REGISTER -  PL'!G20, "-")</f>
        <v>-</v>
      </c>
      <c r="P45" s="462" t="str">
        <f>IF(AND('5b. PRESUMPTIVE REGISTER -  PL'!C20 = '3.2 TAT ANALYSIS'!$P$38,
'6b. LAB REGISTER - PL'!F17&lt;&gt;0,
'5b. PRESUMPTIVE REGISTER -  PL'!G20&lt;&gt;0),
'6b. LAB REGISTER - PL'!F17-'5b. PRESUMPTIVE REGISTER -  PL'!G20, "-")</f>
        <v>-</v>
      </c>
      <c r="Q45" s="462" t="str">
        <f>IF(AND('5b. PRESUMPTIVE REGISTER -  PL'!C20 = '3.2 TAT ANALYSIS'!$Q$38,
'6b. LAB REGISTER - PL'!F17&lt;&gt;0,
'5b. PRESUMPTIVE REGISTER -  PL'!G20&lt;&gt;0),
'6b. LAB REGISTER - PL'!F17-'5b. PRESUMPTIVE REGISTER -  PL'!G20, "-")</f>
        <v>-</v>
      </c>
      <c r="R45" s="462" t="str">
        <f>IF(AND('5b. PRESUMPTIVE REGISTER -  PL'!C20 = '3.2 TAT ANALYSIS'!$R$38,
'6b. LAB REGISTER - PL'!F17&lt;&gt;0,
'5b. PRESUMPTIVE REGISTER -  PL'!G20&lt;&gt;0),
'6b. LAB REGISTER - PL'!F17-'5b. PRESUMPTIVE REGISTER -  PL'!G20, "-")</f>
        <v>-</v>
      </c>
      <c r="S45" s="462" t="str">
        <f>IF(AND('5b. PRESUMPTIVE REGISTER -  PL'!C20 = '3.2 TAT ANALYSIS'!$S$38,
'6b. LAB REGISTER - PL'!F17&lt;&gt;0,
'5b. PRESUMPTIVE REGISTER -  PL'!G20&lt;&gt;0),
'6b. LAB REGISTER - PL'!F17-'5b. PRESUMPTIVE REGISTER -  PL'!G20, "-")</f>
        <v>-</v>
      </c>
      <c r="T45" s="492" t="str">
        <f>IF(AND('6b. LAB REGISTER - PL'!F17&lt;&gt;0,
'5b. PRESUMPTIVE REGISTER -  PL'!G20&lt;&gt;0),
'6b. LAB REGISTER - PL'!F17-'5b. PRESUMPTIVE REGISTER -  PL'!G20, "-")</f>
        <v>-</v>
      </c>
      <c r="Y45"/>
      <c r="Z45"/>
      <c r="AA45"/>
    </row>
    <row r="46" spans="2:31" ht="24.6" customHeight="1" x14ac:dyDescent="0.3">
      <c r="B46" s="344"/>
      <c r="C46" s="7"/>
      <c r="D46" s="7"/>
      <c r="E46" s="7"/>
      <c r="F46" s="7"/>
      <c r="G46" s="472"/>
      <c r="H46" s="472"/>
      <c r="I46" s="472"/>
      <c r="J46" s="472"/>
      <c r="K46" s="472"/>
      <c r="L46" s="472"/>
      <c r="M46" s="472"/>
      <c r="N46" s="461" t="s">
        <v>35</v>
      </c>
      <c r="O46" s="462" t="str">
        <f>IF(AND('5b. PRESUMPTIVE REGISTER -  PL'!C21 = '3.2 TAT ANALYSIS'!$O$38,
'6b. LAB REGISTER - PL'!F18&lt;&gt;0,
'5b. PRESUMPTIVE REGISTER -  PL'!G21&lt;&gt;0),
'6b. LAB REGISTER - PL'!F18-'5b. PRESUMPTIVE REGISTER -  PL'!G21, "-")</f>
        <v>-</v>
      </c>
      <c r="P46" s="462" t="str">
        <f>IF(AND('5b. PRESUMPTIVE REGISTER -  PL'!C21 = '3.2 TAT ANALYSIS'!$P$38,
'6b. LAB REGISTER - PL'!F18&lt;&gt;0,
'5b. PRESUMPTIVE REGISTER -  PL'!G21&lt;&gt;0),
'6b. LAB REGISTER - PL'!F18-'5b. PRESUMPTIVE REGISTER -  PL'!G21, "-")</f>
        <v>-</v>
      </c>
      <c r="Q46" s="462" t="str">
        <f>IF(AND('5b. PRESUMPTIVE REGISTER -  PL'!C21 = '3.2 TAT ANALYSIS'!$Q$38,
'6b. LAB REGISTER - PL'!F18&lt;&gt;0,
'5b. PRESUMPTIVE REGISTER -  PL'!G21&lt;&gt;0),
'6b. LAB REGISTER - PL'!F18-'5b. PRESUMPTIVE REGISTER -  PL'!G21, "-")</f>
        <v>-</v>
      </c>
      <c r="R46" s="462" t="str">
        <f>IF(AND('5b. PRESUMPTIVE REGISTER -  PL'!C21 = '3.2 TAT ANALYSIS'!$R$38,
'6b. LAB REGISTER - PL'!F18&lt;&gt;0,
'5b. PRESUMPTIVE REGISTER -  PL'!G21&lt;&gt;0),
'6b. LAB REGISTER - PL'!F18-'5b. PRESUMPTIVE REGISTER -  PL'!G21, "-")</f>
        <v>-</v>
      </c>
      <c r="S46" s="462" t="str">
        <f>IF(AND('5b. PRESUMPTIVE REGISTER -  PL'!C21 = '3.2 TAT ANALYSIS'!$S$38,
'6b. LAB REGISTER - PL'!F18&lt;&gt;0,
'5b. PRESUMPTIVE REGISTER -  PL'!G21&lt;&gt;0),
'6b. LAB REGISTER - PL'!F18-'5b. PRESUMPTIVE REGISTER -  PL'!G21, "-")</f>
        <v>-</v>
      </c>
      <c r="T46" s="492" t="str">
        <f>IF(AND('6b. LAB REGISTER - PL'!F18&lt;&gt;0,
'5b. PRESUMPTIVE REGISTER -  PL'!G21&lt;&gt;0),
'6b. LAB REGISTER - PL'!F18-'5b. PRESUMPTIVE REGISTER -  PL'!G21, "-")</f>
        <v>-</v>
      </c>
      <c r="Y46"/>
      <c r="Z46"/>
      <c r="AA46"/>
    </row>
    <row r="47" spans="2:31" ht="24.6" customHeight="1" x14ac:dyDescent="0.3">
      <c r="B47" s="344"/>
      <c r="C47" s="7"/>
      <c r="D47" s="7"/>
      <c r="E47" s="7"/>
      <c r="F47" s="7"/>
      <c r="G47" s="472"/>
      <c r="H47" s="472"/>
      <c r="I47" s="472"/>
      <c r="J47" s="472"/>
      <c r="K47" s="472"/>
      <c r="L47" s="472"/>
      <c r="M47" s="472"/>
      <c r="N47" s="461" t="s">
        <v>36</v>
      </c>
      <c r="O47" s="462" t="str">
        <f>IF(AND('5b. PRESUMPTIVE REGISTER -  PL'!C22 = '3.2 TAT ANALYSIS'!$O$38,
'6b. LAB REGISTER - PL'!F19&lt;&gt;0,
'5b. PRESUMPTIVE REGISTER -  PL'!G22&lt;&gt;0),
'6b. LAB REGISTER - PL'!F19-'5b. PRESUMPTIVE REGISTER -  PL'!G22, "-")</f>
        <v>-</v>
      </c>
      <c r="P47" s="462" t="str">
        <f>IF(AND('5b. PRESUMPTIVE REGISTER -  PL'!C22 = '3.2 TAT ANALYSIS'!$P$38,
'6b. LAB REGISTER - PL'!F19&lt;&gt;0,
'5b. PRESUMPTIVE REGISTER -  PL'!G22&lt;&gt;0),
'6b. LAB REGISTER - PL'!F19-'5b. PRESUMPTIVE REGISTER -  PL'!G22, "-")</f>
        <v>-</v>
      </c>
      <c r="Q47" s="462" t="str">
        <f>IF(AND('5b. PRESUMPTIVE REGISTER -  PL'!C22 = '3.2 TAT ANALYSIS'!$Q$38,
'6b. LAB REGISTER - PL'!F19&lt;&gt;0,
'5b. PRESUMPTIVE REGISTER -  PL'!G22&lt;&gt;0),
'6b. LAB REGISTER - PL'!F19-'5b. PRESUMPTIVE REGISTER -  PL'!G22, "-")</f>
        <v>-</v>
      </c>
      <c r="R47" s="462" t="str">
        <f>IF(AND('5b. PRESUMPTIVE REGISTER -  PL'!C22 = '3.2 TAT ANALYSIS'!$R$38,
'6b. LAB REGISTER - PL'!F19&lt;&gt;0,
'5b. PRESUMPTIVE REGISTER -  PL'!G22&lt;&gt;0),
'6b. LAB REGISTER - PL'!F19-'5b. PRESUMPTIVE REGISTER -  PL'!G22, "-")</f>
        <v>-</v>
      </c>
      <c r="S47" s="462" t="str">
        <f>IF(AND('5b. PRESUMPTIVE REGISTER -  PL'!C22 = '3.2 TAT ANALYSIS'!$S$38,
'6b. LAB REGISTER - PL'!F19&lt;&gt;0,
'5b. PRESUMPTIVE REGISTER -  PL'!G22&lt;&gt;0),
'6b. LAB REGISTER - PL'!F19-'5b. PRESUMPTIVE REGISTER -  PL'!G22, "-")</f>
        <v>-</v>
      </c>
      <c r="T47" s="492" t="str">
        <f>IF(AND('6b. LAB REGISTER - PL'!F19&lt;&gt;0,
'5b. PRESUMPTIVE REGISTER -  PL'!G22&lt;&gt;0),
'6b. LAB REGISTER - PL'!F19-'5b. PRESUMPTIVE REGISTER -  PL'!G22, "-")</f>
        <v>-</v>
      </c>
      <c r="Y47"/>
      <c r="Z47"/>
      <c r="AA47"/>
    </row>
    <row r="48" spans="2:31" ht="24.6" customHeight="1" x14ac:dyDescent="0.3">
      <c r="B48" s="344"/>
      <c r="C48" s="7"/>
      <c r="D48" s="7"/>
      <c r="E48" s="7"/>
      <c r="F48" s="7"/>
      <c r="G48" s="472"/>
      <c r="H48" s="472"/>
      <c r="I48" s="472"/>
      <c r="J48" s="472"/>
      <c r="K48" s="472"/>
      <c r="L48" s="472"/>
      <c r="M48" s="472"/>
      <c r="N48" s="461" t="s">
        <v>37</v>
      </c>
      <c r="O48" s="462" t="str">
        <f>IF(AND('5b. PRESUMPTIVE REGISTER -  PL'!C23 = '3.2 TAT ANALYSIS'!$O$38,
'6b. LAB REGISTER - PL'!F20&lt;&gt;0,
'5b. PRESUMPTIVE REGISTER -  PL'!G23&lt;&gt;0),
'6b. LAB REGISTER - PL'!F20-'5b. PRESUMPTIVE REGISTER -  PL'!G23, "-")</f>
        <v>-</v>
      </c>
      <c r="P48" s="462" t="str">
        <f>IF(AND('5b. PRESUMPTIVE REGISTER -  PL'!C23 = '3.2 TAT ANALYSIS'!$P$38,
'6b. LAB REGISTER - PL'!F20&lt;&gt;0,
'5b. PRESUMPTIVE REGISTER -  PL'!G23&lt;&gt;0),
'6b. LAB REGISTER - PL'!F20-'5b. PRESUMPTIVE REGISTER -  PL'!G23, "-")</f>
        <v>-</v>
      </c>
      <c r="Q48" s="462" t="str">
        <f>IF(AND('5b. PRESUMPTIVE REGISTER -  PL'!C23 = '3.2 TAT ANALYSIS'!$Q$38,
'6b. LAB REGISTER - PL'!F20&lt;&gt;0,
'5b. PRESUMPTIVE REGISTER -  PL'!G23&lt;&gt;0),
'6b. LAB REGISTER - PL'!F20-'5b. PRESUMPTIVE REGISTER -  PL'!G23, "-")</f>
        <v>-</v>
      </c>
      <c r="R48" s="462" t="str">
        <f>IF(AND('5b. PRESUMPTIVE REGISTER -  PL'!C23 = '3.2 TAT ANALYSIS'!$R$38,
'6b. LAB REGISTER - PL'!F20&lt;&gt;0,
'5b. PRESUMPTIVE REGISTER -  PL'!G23&lt;&gt;0),
'6b. LAB REGISTER - PL'!F20-'5b. PRESUMPTIVE REGISTER -  PL'!G23, "-")</f>
        <v>-</v>
      </c>
      <c r="S48" s="462" t="str">
        <f>IF(AND('5b. PRESUMPTIVE REGISTER -  PL'!C23 = '3.2 TAT ANALYSIS'!$S$38,
'6b. LAB REGISTER - PL'!F20&lt;&gt;0,
'5b. PRESUMPTIVE REGISTER -  PL'!G23&lt;&gt;0),
'6b. LAB REGISTER - PL'!F20-'5b. PRESUMPTIVE REGISTER -  PL'!G23, "-")</f>
        <v>-</v>
      </c>
      <c r="T48" s="492" t="str">
        <f>IF(AND('6b. LAB REGISTER - PL'!F20&lt;&gt;0,
'5b. PRESUMPTIVE REGISTER -  PL'!G23&lt;&gt;0),
'6b. LAB REGISTER - PL'!F20-'5b. PRESUMPTIVE REGISTER -  PL'!G23, "-")</f>
        <v>-</v>
      </c>
      <c r="Y48"/>
      <c r="Z48"/>
      <c r="AA48"/>
    </row>
    <row r="49" spans="2:27" ht="24.6" customHeight="1" x14ac:dyDescent="0.3">
      <c r="B49" s="344"/>
      <c r="C49" s="7"/>
      <c r="D49" s="7"/>
      <c r="E49" s="7"/>
      <c r="F49" s="7"/>
      <c r="G49" s="472"/>
      <c r="H49" s="472"/>
      <c r="I49" s="472"/>
      <c r="J49" s="472"/>
      <c r="K49" s="472"/>
      <c r="L49" s="472"/>
      <c r="M49" s="472"/>
      <c r="N49" s="461" t="s">
        <v>38</v>
      </c>
      <c r="O49" s="462" t="str">
        <f>IF(AND('5b. PRESUMPTIVE REGISTER -  PL'!C24 = '3.2 TAT ANALYSIS'!$O$38,
'6b. LAB REGISTER - PL'!F21&lt;&gt;0,
'5b. PRESUMPTIVE REGISTER -  PL'!G24&lt;&gt;0),
'6b. LAB REGISTER - PL'!F21-'5b. PRESUMPTIVE REGISTER -  PL'!G24, "-")</f>
        <v>-</v>
      </c>
      <c r="P49" s="462" t="str">
        <f>IF(AND('5b. PRESUMPTIVE REGISTER -  PL'!C24 = '3.2 TAT ANALYSIS'!$P$38,
'6b. LAB REGISTER - PL'!F21&lt;&gt;0,
'5b. PRESUMPTIVE REGISTER -  PL'!G24&lt;&gt;0),
'6b. LAB REGISTER - PL'!F21-'5b. PRESUMPTIVE REGISTER -  PL'!G24, "-")</f>
        <v>-</v>
      </c>
      <c r="Q49" s="462" t="str">
        <f>IF(AND('5b. PRESUMPTIVE REGISTER -  PL'!C24 = '3.2 TAT ANALYSIS'!$Q$38,
'6b. LAB REGISTER - PL'!F21&lt;&gt;0,
'5b. PRESUMPTIVE REGISTER -  PL'!G24&lt;&gt;0),
'6b. LAB REGISTER - PL'!F21-'5b. PRESUMPTIVE REGISTER -  PL'!G24, "-")</f>
        <v>-</v>
      </c>
      <c r="R49" s="462" t="str">
        <f>IF(AND('5b. PRESUMPTIVE REGISTER -  PL'!C24 = '3.2 TAT ANALYSIS'!$R$38,
'6b. LAB REGISTER - PL'!F21&lt;&gt;0,
'5b. PRESUMPTIVE REGISTER -  PL'!G24&lt;&gt;0),
'6b. LAB REGISTER - PL'!F21-'5b. PRESUMPTIVE REGISTER -  PL'!G24, "-")</f>
        <v>-</v>
      </c>
      <c r="S49" s="462" t="str">
        <f>IF(AND('5b. PRESUMPTIVE REGISTER -  PL'!C24 = '3.2 TAT ANALYSIS'!$S$38,
'6b. LAB REGISTER - PL'!F21&lt;&gt;0,
'5b. PRESUMPTIVE REGISTER -  PL'!G24&lt;&gt;0),
'6b. LAB REGISTER - PL'!F21-'5b. PRESUMPTIVE REGISTER -  PL'!G24, "-")</f>
        <v>-</v>
      </c>
      <c r="T49" s="492" t="str">
        <f>IF(AND('6b. LAB REGISTER - PL'!F21&lt;&gt;0,
'5b. PRESUMPTIVE REGISTER -  PL'!G24&lt;&gt;0),
'6b. LAB REGISTER - PL'!F21-'5b. PRESUMPTIVE REGISTER -  PL'!G24, "-")</f>
        <v>-</v>
      </c>
      <c r="Y49"/>
      <c r="Z49"/>
      <c r="AA49"/>
    </row>
    <row r="50" spans="2:27" ht="24.6" customHeight="1" x14ac:dyDescent="0.3">
      <c r="B50" s="344"/>
      <c r="C50" s="7"/>
      <c r="D50" s="7"/>
      <c r="E50" s="7"/>
      <c r="F50" s="7"/>
      <c r="G50" s="472"/>
      <c r="H50" s="472"/>
      <c r="I50" s="472"/>
      <c r="J50" s="472"/>
      <c r="K50" s="472"/>
      <c r="L50" s="472"/>
      <c r="M50" s="472"/>
      <c r="N50" s="461" t="s">
        <v>39</v>
      </c>
      <c r="O50" s="462" t="str">
        <f>IF(AND('5b. PRESUMPTIVE REGISTER -  PL'!C25 = '3.2 TAT ANALYSIS'!$O$38,
'6b. LAB REGISTER - PL'!F22&lt;&gt;0,
'5b. PRESUMPTIVE REGISTER -  PL'!G25&lt;&gt;0),
'6b. LAB REGISTER - PL'!F22-'5b. PRESUMPTIVE REGISTER -  PL'!G25, "-")</f>
        <v>-</v>
      </c>
      <c r="P50" s="462" t="str">
        <f>IF(AND('5b. PRESUMPTIVE REGISTER -  PL'!C25 = '3.2 TAT ANALYSIS'!$P$38,
'6b. LAB REGISTER - PL'!F22&lt;&gt;0,
'5b. PRESUMPTIVE REGISTER -  PL'!G25&lt;&gt;0),
'6b. LAB REGISTER - PL'!F22-'5b. PRESUMPTIVE REGISTER -  PL'!G25, "-")</f>
        <v>-</v>
      </c>
      <c r="Q50" s="462" t="str">
        <f>IF(AND('5b. PRESUMPTIVE REGISTER -  PL'!C25 = '3.2 TAT ANALYSIS'!$Q$38,
'6b. LAB REGISTER - PL'!F22&lt;&gt;0,
'5b. PRESUMPTIVE REGISTER -  PL'!G25&lt;&gt;0),
'6b. LAB REGISTER - PL'!F22-'5b. PRESUMPTIVE REGISTER -  PL'!G25, "-")</f>
        <v>-</v>
      </c>
      <c r="R50" s="462" t="str">
        <f>IF(AND('5b. PRESUMPTIVE REGISTER -  PL'!C25 = '3.2 TAT ANALYSIS'!$R$38,
'6b. LAB REGISTER - PL'!F22&lt;&gt;0,
'5b. PRESUMPTIVE REGISTER -  PL'!G25&lt;&gt;0),
'6b. LAB REGISTER - PL'!F22-'5b. PRESUMPTIVE REGISTER -  PL'!G25, "-")</f>
        <v>-</v>
      </c>
      <c r="S50" s="462" t="str">
        <f>IF(AND('5b. PRESUMPTIVE REGISTER -  PL'!C25 = '3.2 TAT ANALYSIS'!$S$38,
'6b. LAB REGISTER - PL'!F22&lt;&gt;0,
'5b. PRESUMPTIVE REGISTER -  PL'!G25&lt;&gt;0),
'6b. LAB REGISTER - PL'!F22-'5b. PRESUMPTIVE REGISTER -  PL'!G25, "-")</f>
        <v>-</v>
      </c>
      <c r="T50" s="492" t="str">
        <f>IF(AND('6b. LAB REGISTER - PL'!F22&lt;&gt;0,
'5b. PRESUMPTIVE REGISTER -  PL'!G25&lt;&gt;0),
'6b. LAB REGISTER - PL'!F22-'5b. PRESUMPTIVE REGISTER -  PL'!G25, "-")</f>
        <v>-</v>
      </c>
      <c r="Y50"/>
      <c r="Z50"/>
      <c r="AA50"/>
    </row>
    <row r="51" spans="2:27" ht="24.6" customHeight="1" x14ac:dyDescent="0.3">
      <c r="B51" s="344"/>
      <c r="C51" s="7"/>
      <c r="D51" s="7"/>
      <c r="E51" s="7"/>
      <c r="F51" s="7"/>
      <c r="G51" s="472"/>
      <c r="H51" s="472"/>
      <c r="I51" s="472"/>
      <c r="J51" s="472"/>
      <c r="K51" s="472"/>
      <c r="L51" s="472"/>
      <c r="M51" s="472"/>
      <c r="N51" s="461" t="s">
        <v>40</v>
      </c>
      <c r="O51" s="462" t="str">
        <f>IF(AND('5b. PRESUMPTIVE REGISTER -  PL'!C26 = '3.2 TAT ANALYSIS'!$O$38,
'6b. LAB REGISTER - PL'!F23&lt;&gt;0,
'5b. PRESUMPTIVE REGISTER -  PL'!G26&lt;&gt;0),
'6b. LAB REGISTER - PL'!F23-'5b. PRESUMPTIVE REGISTER -  PL'!G26, "-")</f>
        <v>-</v>
      </c>
      <c r="P51" s="462" t="str">
        <f>IF(AND('5b. PRESUMPTIVE REGISTER -  PL'!C26 = '3.2 TAT ANALYSIS'!$P$38,
'6b. LAB REGISTER - PL'!F23&lt;&gt;0,
'5b. PRESUMPTIVE REGISTER -  PL'!G26&lt;&gt;0),
'6b. LAB REGISTER - PL'!F23-'5b. PRESUMPTIVE REGISTER -  PL'!G26, "-")</f>
        <v>-</v>
      </c>
      <c r="Q51" s="462" t="str">
        <f>IF(AND('5b. PRESUMPTIVE REGISTER -  PL'!C26 = '3.2 TAT ANALYSIS'!$Q$38,
'6b. LAB REGISTER - PL'!F23&lt;&gt;0,
'5b. PRESUMPTIVE REGISTER -  PL'!G26&lt;&gt;0),
'6b. LAB REGISTER - PL'!F23-'5b. PRESUMPTIVE REGISTER -  PL'!G26, "-")</f>
        <v>-</v>
      </c>
      <c r="R51" s="462" t="str">
        <f>IF(AND('5b. PRESUMPTIVE REGISTER -  PL'!C26 = '3.2 TAT ANALYSIS'!$R$38,
'6b. LAB REGISTER - PL'!F23&lt;&gt;0,
'5b. PRESUMPTIVE REGISTER -  PL'!G26&lt;&gt;0),
'6b. LAB REGISTER - PL'!F23-'5b. PRESUMPTIVE REGISTER -  PL'!G26, "-")</f>
        <v>-</v>
      </c>
      <c r="S51" s="462" t="str">
        <f>IF(AND('5b. PRESUMPTIVE REGISTER -  PL'!C26 = '3.2 TAT ANALYSIS'!$S$38,
'6b. LAB REGISTER - PL'!F23&lt;&gt;0,
'5b. PRESUMPTIVE REGISTER -  PL'!G26&lt;&gt;0),
'6b. LAB REGISTER - PL'!F23-'5b. PRESUMPTIVE REGISTER -  PL'!G26, "-")</f>
        <v>-</v>
      </c>
      <c r="T51" s="492" t="str">
        <f>IF(AND('6b. LAB REGISTER - PL'!F23&lt;&gt;0,
'5b. PRESUMPTIVE REGISTER -  PL'!G26&lt;&gt;0),
'6b. LAB REGISTER - PL'!F23-'5b. PRESUMPTIVE REGISTER -  PL'!G26, "-")</f>
        <v>-</v>
      </c>
      <c r="Y51"/>
      <c r="Z51"/>
      <c r="AA51"/>
    </row>
    <row r="52" spans="2:27" ht="24.6" customHeight="1" x14ac:dyDescent="0.3">
      <c r="B52" s="344"/>
      <c r="C52" s="7"/>
      <c r="D52" s="7"/>
      <c r="E52" s="7"/>
      <c r="F52" s="7"/>
      <c r="G52" s="472"/>
      <c r="H52" s="472"/>
      <c r="I52" s="472"/>
      <c r="J52" s="472"/>
      <c r="K52" s="472"/>
      <c r="L52" s="472"/>
      <c r="M52" s="472"/>
      <c r="N52" s="461" t="s">
        <v>41</v>
      </c>
      <c r="O52" s="462" t="str">
        <f>IF(AND('5b. PRESUMPTIVE REGISTER -  PL'!C27 = '3.2 TAT ANALYSIS'!$O$38,
'6b. LAB REGISTER - PL'!F24&lt;&gt;0,
'5b. PRESUMPTIVE REGISTER -  PL'!G27&lt;&gt;0),
'6b. LAB REGISTER - PL'!F24-'5b. PRESUMPTIVE REGISTER -  PL'!G27, "-")</f>
        <v>-</v>
      </c>
      <c r="P52" s="462" t="str">
        <f>IF(AND('5b. PRESUMPTIVE REGISTER -  PL'!C27 = '3.2 TAT ANALYSIS'!$P$38,
'6b. LAB REGISTER - PL'!F24&lt;&gt;0,
'5b. PRESUMPTIVE REGISTER -  PL'!G27&lt;&gt;0),
'6b. LAB REGISTER - PL'!F24-'5b. PRESUMPTIVE REGISTER -  PL'!G27, "-")</f>
        <v>-</v>
      </c>
      <c r="Q52" s="462" t="str">
        <f>IF(AND('5b. PRESUMPTIVE REGISTER -  PL'!C27 = '3.2 TAT ANALYSIS'!$Q$38,
'6b. LAB REGISTER - PL'!F24&lt;&gt;0,
'5b. PRESUMPTIVE REGISTER -  PL'!G27&lt;&gt;0),
'6b. LAB REGISTER - PL'!F24-'5b. PRESUMPTIVE REGISTER -  PL'!G27, "-")</f>
        <v>-</v>
      </c>
      <c r="R52" s="462" t="str">
        <f>IF(AND('5b. PRESUMPTIVE REGISTER -  PL'!C27 = '3.2 TAT ANALYSIS'!$R$38,
'6b. LAB REGISTER - PL'!F24&lt;&gt;0,
'5b. PRESUMPTIVE REGISTER -  PL'!G27&lt;&gt;0),
'6b. LAB REGISTER - PL'!F24-'5b. PRESUMPTIVE REGISTER -  PL'!G27, "-")</f>
        <v>-</v>
      </c>
      <c r="S52" s="462" t="str">
        <f>IF(AND('5b. PRESUMPTIVE REGISTER -  PL'!C27 = '3.2 TAT ANALYSIS'!$S$38,
'6b. LAB REGISTER - PL'!F24&lt;&gt;0,
'5b. PRESUMPTIVE REGISTER -  PL'!G27&lt;&gt;0),
'6b. LAB REGISTER - PL'!F24-'5b. PRESUMPTIVE REGISTER -  PL'!G27, "-")</f>
        <v>-</v>
      </c>
      <c r="T52" s="492" t="str">
        <f>IF(AND('6b. LAB REGISTER - PL'!F24&lt;&gt;0,
'5b. PRESUMPTIVE REGISTER -  PL'!G27&lt;&gt;0),
'6b. LAB REGISTER - PL'!F24-'5b. PRESUMPTIVE REGISTER -  PL'!G27, "-")</f>
        <v>-</v>
      </c>
      <c r="Y52"/>
      <c r="Z52"/>
      <c r="AA52"/>
    </row>
    <row r="53" spans="2:27" ht="24.6" customHeight="1" x14ac:dyDescent="0.3">
      <c r="B53" s="344"/>
      <c r="C53" s="7"/>
      <c r="D53" s="7"/>
      <c r="E53" s="7"/>
      <c r="F53" s="7"/>
      <c r="G53" s="472"/>
      <c r="H53" s="472"/>
      <c r="I53" s="472"/>
      <c r="J53" s="472"/>
      <c r="K53" s="472"/>
      <c r="L53" s="472"/>
      <c r="M53" s="472"/>
      <c r="N53" s="463" t="s">
        <v>42</v>
      </c>
      <c r="O53" s="462" t="str">
        <f>IF(AND('5b. PRESUMPTIVE REGISTER -  PL'!C28 = '3.2 TAT ANALYSIS'!$O$38,
'6b. LAB REGISTER - PL'!F25&lt;&gt;0,
'5b. PRESUMPTIVE REGISTER -  PL'!G28&lt;&gt;0),
'6b. LAB REGISTER - PL'!F25-'5b. PRESUMPTIVE REGISTER -  PL'!G28, "-")</f>
        <v>-</v>
      </c>
      <c r="P53" s="462" t="str">
        <f>IF(AND('5b. PRESUMPTIVE REGISTER -  PL'!C28 = '3.2 TAT ANALYSIS'!$P$38,
'6b. LAB REGISTER - PL'!F25&lt;&gt;0,
'5b. PRESUMPTIVE REGISTER -  PL'!G28&lt;&gt;0),
'6b. LAB REGISTER - PL'!F25-'5b. PRESUMPTIVE REGISTER -  PL'!G28, "-")</f>
        <v>-</v>
      </c>
      <c r="Q53" s="462" t="str">
        <f>IF(AND('5b. PRESUMPTIVE REGISTER -  PL'!C28 = '3.2 TAT ANALYSIS'!$Q$38,
'6b. LAB REGISTER - PL'!F25&lt;&gt;0,
'5b. PRESUMPTIVE REGISTER -  PL'!G28&lt;&gt;0),
'6b. LAB REGISTER - PL'!F25-'5b. PRESUMPTIVE REGISTER -  PL'!G28, "-")</f>
        <v>-</v>
      </c>
      <c r="R53" s="462" t="str">
        <f>IF(AND('5b. PRESUMPTIVE REGISTER -  PL'!C28 = '3.2 TAT ANALYSIS'!$R$38,
'6b. LAB REGISTER - PL'!F25&lt;&gt;0,
'5b. PRESUMPTIVE REGISTER -  PL'!G28&lt;&gt;0),
'6b. LAB REGISTER - PL'!F25-'5b. PRESUMPTIVE REGISTER -  PL'!G28, "-")</f>
        <v>-</v>
      </c>
      <c r="S53" s="462" t="str">
        <f>IF(AND('5b. PRESUMPTIVE REGISTER -  PL'!C28 = '3.2 TAT ANALYSIS'!$S$38,
'6b. LAB REGISTER - PL'!F25&lt;&gt;0,
'5b. PRESUMPTIVE REGISTER -  PL'!G28&lt;&gt;0),
'6b. LAB REGISTER - PL'!F25-'5b. PRESUMPTIVE REGISTER -  PL'!G28, "-")</f>
        <v>-</v>
      </c>
      <c r="T53" s="492" t="str">
        <f>IF(AND('6b. LAB REGISTER - PL'!F25&lt;&gt;0,
'5b. PRESUMPTIVE REGISTER -  PL'!G28&lt;&gt;0),
'6b. LAB REGISTER - PL'!F25-'5b. PRESUMPTIVE REGISTER -  PL'!G28, "-")</f>
        <v>-</v>
      </c>
      <c r="Y53"/>
      <c r="Z53"/>
      <c r="AA53"/>
    </row>
    <row r="54" spans="2:27" ht="24.6" customHeight="1" x14ac:dyDescent="0.3">
      <c r="B54" s="344"/>
      <c r="C54" s="7"/>
      <c r="D54" s="7"/>
      <c r="E54" s="7"/>
      <c r="F54" s="7"/>
      <c r="G54" s="472"/>
      <c r="H54" s="472"/>
      <c r="I54" s="472"/>
      <c r="J54" s="472"/>
      <c r="K54" s="472"/>
      <c r="L54" s="472"/>
      <c r="M54" s="472"/>
      <c r="N54" s="463" t="s">
        <v>43</v>
      </c>
      <c r="O54" s="462" t="str">
        <f>IF(AND('5b. PRESUMPTIVE REGISTER -  PL'!C29 = '3.2 TAT ANALYSIS'!$O$38,
'6b. LAB REGISTER - PL'!F26&lt;&gt;0,
'5b. PRESUMPTIVE REGISTER -  PL'!G29&lt;&gt;0),
'6b. LAB REGISTER - PL'!F26-'5b. PRESUMPTIVE REGISTER -  PL'!G29, "-")</f>
        <v>-</v>
      </c>
      <c r="P54" s="462" t="str">
        <f>IF(AND('5b. PRESUMPTIVE REGISTER -  PL'!C29 = '3.2 TAT ANALYSIS'!$P$38,
'6b. LAB REGISTER - PL'!F26&lt;&gt;0,
'5b. PRESUMPTIVE REGISTER -  PL'!G29&lt;&gt;0),
'6b. LAB REGISTER - PL'!F26-'5b. PRESUMPTIVE REGISTER -  PL'!G29, "-")</f>
        <v>-</v>
      </c>
      <c r="Q54" s="462" t="str">
        <f>IF(AND('5b. PRESUMPTIVE REGISTER -  PL'!C29 = '3.2 TAT ANALYSIS'!$Q$38,
'6b. LAB REGISTER - PL'!F26&lt;&gt;0,
'5b. PRESUMPTIVE REGISTER -  PL'!G29&lt;&gt;0),
'6b. LAB REGISTER - PL'!F26-'5b. PRESUMPTIVE REGISTER -  PL'!G29, "-")</f>
        <v>-</v>
      </c>
      <c r="R54" s="462" t="str">
        <f>IF(AND('5b. PRESUMPTIVE REGISTER -  PL'!C29 = '3.2 TAT ANALYSIS'!$R$38,
'6b. LAB REGISTER - PL'!F26&lt;&gt;0,
'5b. PRESUMPTIVE REGISTER -  PL'!G29&lt;&gt;0),
'6b. LAB REGISTER - PL'!F26-'5b. PRESUMPTIVE REGISTER -  PL'!G29, "-")</f>
        <v>-</v>
      </c>
      <c r="S54" s="462" t="str">
        <f>IF(AND('5b. PRESUMPTIVE REGISTER -  PL'!C29 = '3.2 TAT ANALYSIS'!$S$38,
'6b. LAB REGISTER - PL'!F26&lt;&gt;0,
'5b. PRESUMPTIVE REGISTER -  PL'!G29&lt;&gt;0),
'6b. LAB REGISTER - PL'!F26-'5b. PRESUMPTIVE REGISTER -  PL'!G29, "-")</f>
        <v>-</v>
      </c>
      <c r="T54" s="492" t="str">
        <f>IF(AND('6b. LAB REGISTER - PL'!F26&lt;&gt;0,
'5b. PRESUMPTIVE REGISTER -  PL'!G29&lt;&gt;0),
'6b. LAB REGISTER - PL'!F26-'5b. PRESUMPTIVE REGISTER -  PL'!G29, "-")</f>
        <v>-</v>
      </c>
      <c r="Y54"/>
      <c r="Z54"/>
      <c r="AA54"/>
    </row>
    <row r="55" spans="2:27" ht="24.6" customHeight="1" x14ac:dyDescent="0.3">
      <c r="B55" s="344"/>
      <c r="C55" s="7"/>
      <c r="D55" s="7"/>
      <c r="E55" s="7"/>
      <c r="F55" s="7"/>
      <c r="G55" s="472"/>
      <c r="H55" s="472"/>
      <c r="I55" s="472"/>
      <c r="J55" s="472"/>
      <c r="K55" s="472"/>
      <c r="L55" s="472"/>
      <c r="M55" s="472"/>
      <c r="N55" s="463" t="s">
        <v>44</v>
      </c>
      <c r="O55" s="462" t="str">
        <f>IF(AND('5b. PRESUMPTIVE REGISTER -  PL'!C30 = '3.2 TAT ANALYSIS'!$O$38,
'6b. LAB REGISTER - PL'!F27&lt;&gt;0,
'5b. PRESUMPTIVE REGISTER -  PL'!G30&lt;&gt;0),
'6b. LAB REGISTER - PL'!F27-'5b. PRESUMPTIVE REGISTER -  PL'!G30, "-")</f>
        <v>-</v>
      </c>
      <c r="P55" s="462" t="str">
        <f>IF(AND('5b. PRESUMPTIVE REGISTER -  PL'!C30 = '3.2 TAT ANALYSIS'!$P$38,
'6b. LAB REGISTER - PL'!F27&lt;&gt;0,
'5b. PRESUMPTIVE REGISTER -  PL'!G30&lt;&gt;0),
'6b. LAB REGISTER - PL'!F27-'5b. PRESUMPTIVE REGISTER -  PL'!G30, "-")</f>
        <v>-</v>
      </c>
      <c r="Q55" s="462" t="str">
        <f>IF(AND('5b. PRESUMPTIVE REGISTER -  PL'!C30 = '3.2 TAT ANALYSIS'!$Q$38,
'6b. LAB REGISTER - PL'!F27&lt;&gt;0,
'5b. PRESUMPTIVE REGISTER -  PL'!G30&lt;&gt;0),
'6b. LAB REGISTER - PL'!F27-'5b. PRESUMPTIVE REGISTER -  PL'!G30, "-")</f>
        <v>-</v>
      </c>
      <c r="R55" s="462" t="str">
        <f>IF(AND('5b. PRESUMPTIVE REGISTER -  PL'!C30 = '3.2 TAT ANALYSIS'!$R$38,
'6b. LAB REGISTER - PL'!F27&lt;&gt;0,
'5b. PRESUMPTIVE REGISTER -  PL'!G30&lt;&gt;0),
'6b. LAB REGISTER - PL'!F27-'5b. PRESUMPTIVE REGISTER -  PL'!G30, "-")</f>
        <v>-</v>
      </c>
      <c r="S55" s="462" t="str">
        <f>IF(AND('5b. PRESUMPTIVE REGISTER -  PL'!C30 = '3.2 TAT ANALYSIS'!$S$38,
'6b. LAB REGISTER - PL'!F27&lt;&gt;0,
'5b. PRESUMPTIVE REGISTER -  PL'!G30&lt;&gt;0),
'6b. LAB REGISTER - PL'!F27-'5b. PRESUMPTIVE REGISTER -  PL'!G30, "-")</f>
        <v>-</v>
      </c>
      <c r="T55" s="492" t="str">
        <f>IF(AND('6b. LAB REGISTER - PL'!F27&lt;&gt;0,
'5b. PRESUMPTIVE REGISTER -  PL'!G30&lt;&gt;0),
'6b. LAB REGISTER - PL'!F27-'5b. PRESUMPTIVE REGISTER -  PL'!G30, "-")</f>
        <v>-</v>
      </c>
      <c r="Y55"/>
      <c r="Z55"/>
      <c r="AA55"/>
    </row>
    <row r="56" spans="2:27" ht="24.6" customHeight="1" x14ac:dyDescent="0.3">
      <c r="B56" s="344"/>
      <c r="C56" s="7"/>
      <c r="D56" s="7"/>
      <c r="E56" s="7"/>
      <c r="F56" s="7"/>
      <c r="G56" s="472"/>
      <c r="H56" s="472"/>
      <c r="I56" s="472"/>
      <c r="J56" s="472"/>
      <c r="K56" s="472"/>
      <c r="L56" s="472"/>
      <c r="M56" s="472"/>
      <c r="N56" s="463" t="s">
        <v>45</v>
      </c>
      <c r="O56" s="462" t="str">
        <f>IF(AND('5b. PRESUMPTIVE REGISTER -  PL'!C31 = '3.2 TAT ANALYSIS'!$O$38,
'6b. LAB REGISTER - PL'!F28&lt;&gt;0,
'5b. PRESUMPTIVE REGISTER -  PL'!G31&lt;&gt;0),
'6b. LAB REGISTER - PL'!F28-'5b. PRESUMPTIVE REGISTER -  PL'!G31, "-")</f>
        <v>-</v>
      </c>
      <c r="P56" s="462" t="str">
        <f>IF(AND('5b. PRESUMPTIVE REGISTER -  PL'!C31 = '3.2 TAT ANALYSIS'!$P$38,
'6b. LAB REGISTER - PL'!F28&lt;&gt;0,
'5b. PRESUMPTIVE REGISTER -  PL'!G31&lt;&gt;0),
'6b. LAB REGISTER - PL'!F28-'5b. PRESUMPTIVE REGISTER -  PL'!G31, "-")</f>
        <v>-</v>
      </c>
      <c r="Q56" s="462" t="str">
        <f>IF(AND('5b. PRESUMPTIVE REGISTER -  PL'!C31 = '3.2 TAT ANALYSIS'!$Q$38,
'6b. LAB REGISTER - PL'!F28&lt;&gt;0,
'5b. PRESUMPTIVE REGISTER -  PL'!G31&lt;&gt;0),
'6b. LAB REGISTER - PL'!F28-'5b. PRESUMPTIVE REGISTER -  PL'!G31, "-")</f>
        <v>-</v>
      </c>
      <c r="R56" s="462" t="str">
        <f>IF(AND('5b. PRESUMPTIVE REGISTER -  PL'!C31 = '3.2 TAT ANALYSIS'!$R$38,
'6b. LAB REGISTER - PL'!F28&lt;&gt;0,
'5b. PRESUMPTIVE REGISTER -  PL'!G31&lt;&gt;0),
'6b. LAB REGISTER - PL'!F28-'5b. PRESUMPTIVE REGISTER -  PL'!G31, "-")</f>
        <v>-</v>
      </c>
      <c r="S56" s="462" t="str">
        <f>IF(AND('5b. PRESUMPTIVE REGISTER -  PL'!C31 = '3.2 TAT ANALYSIS'!$S$38,
'6b. LAB REGISTER - PL'!F28&lt;&gt;0,
'5b. PRESUMPTIVE REGISTER -  PL'!G31&lt;&gt;0),
'6b. LAB REGISTER - PL'!F28-'5b. PRESUMPTIVE REGISTER -  PL'!G31, "-")</f>
        <v>-</v>
      </c>
      <c r="T56" s="492" t="str">
        <f>IF(AND('6b. LAB REGISTER - PL'!F28&lt;&gt;0,
'5b. PRESUMPTIVE REGISTER -  PL'!G31&lt;&gt;0),
'6b. LAB REGISTER - PL'!F28-'5b. PRESUMPTIVE REGISTER -  PL'!G31, "-")</f>
        <v>-</v>
      </c>
      <c r="Y56"/>
      <c r="Z56"/>
      <c r="AA56"/>
    </row>
    <row r="57" spans="2:27" ht="24.6" customHeight="1" x14ac:dyDescent="0.3">
      <c r="B57" s="344"/>
      <c r="C57" s="7"/>
      <c r="D57" s="7"/>
      <c r="E57" s="7"/>
      <c r="F57" s="7"/>
      <c r="G57" s="472"/>
      <c r="H57" s="472"/>
      <c r="I57" s="472"/>
      <c r="J57" s="472"/>
      <c r="K57" s="472"/>
      <c r="L57" s="472"/>
      <c r="M57" s="472"/>
      <c r="N57" s="463" t="s">
        <v>46</v>
      </c>
      <c r="O57" s="462" t="str">
        <f>IF(AND('5b. PRESUMPTIVE REGISTER -  PL'!C32 = '3.2 TAT ANALYSIS'!$O$38,
'6b. LAB REGISTER - PL'!F29&lt;&gt;0,
'5b. PRESUMPTIVE REGISTER -  PL'!G32&lt;&gt;0),
'6b. LAB REGISTER - PL'!F29-'5b. PRESUMPTIVE REGISTER -  PL'!G32, "-")</f>
        <v>-</v>
      </c>
      <c r="P57" s="462" t="str">
        <f>IF(AND('5b. PRESUMPTIVE REGISTER -  PL'!C32 = '3.2 TAT ANALYSIS'!$P$38,
'6b. LAB REGISTER - PL'!F29&lt;&gt;0,
'5b. PRESUMPTIVE REGISTER -  PL'!G32&lt;&gt;0),
'6b. LAB REGISTER - PL'!F29-'5b. PRESUMPTIVE REGISTER -  PL'!G32, "-")</f>
        <v>-</v>
      </c>
      <c r="Q57" s="462" t="str">
        <f>IF(AND('5b. PRESUMPTIVE REGISTER -  PL'!C32 = '3.2 TAT ANALYSIS'!$Q$38,
'6b. LAB REGISTER - PL'!F29&lt;&gt;0,
'5b. PRESUMPTIVE REGISTER -  PL'!G32&lt;&gt;0),
'6b. LAB REGISTER - PL'!F29-'5b. PRESUMPTIVE REGISTER -  PL'!G32, "-")</f>
        <v>-</v>
      </c>
      <c r="R57" s="462" t="str">
        <f>IF(AND('5b. PRESUMPTIVE REGISTER -  PL'!C32 = '3.2 TAT ANALYSIS'!$R$38,
'6b. LAB REGISTER - PL'!F29&lt;&gt;0,
'5b. PRESUMPTIVE REGISTER -  PL'!G32&lt;&gt;0),
'6b. LAB REGISTER - PL'!F29-'5b. PRESUMPTIVE REGISTER -  PL'!G32, "-")</f>
        <v>-</v>
      </c>
      <c r="S57" s="462" t="str">
        <f>IF(AND('5b. PRESUMPTIVE REGISTER -  PL'!C32 = '3.2 TAT ANALYSIS'!$S$38,
'6b. LAB REGISTER - PL'!F29&lt;&gt;0,
'5b. PRESUMPTIVE REGISTER -  PL'!G32&lt;&gt;0),
'6b. LAB REGISTER - PL'!F29-'5b. PRESUMPTIVE REGISTER -  PL'!G32, "-")</f>
        <v>-</v>
      </c>
      <c r="T57" s="492" t="str">
        <f>IF(AND('6b. LAB REGISTER - PL'!F29&lt;&gt;0,
'5b. PRESUMPTIVE REGISTER -  PL'!G32&lt;&gt;0),
'6b. LAB REGISTER - PL'!F29-'5b. PRESUMPTIVE REGISTER -  PL'!G32, "-")</f>
        <v>-</v>
      </c>
      <c r="Y57"/>
      <c r="Z57"/>
      <c r="AA57"/>
    </row>
    <row r="58" spans="2:27" ht="24.6" customHeight="1" x14ac:dyDescent="0.3">
      <c r="B58" s="344"/>
      <c r="C58" s="7"/>
      <c r="D58" s="7"/>
      <c r="E58" s="7"/>
      <c r="F58" s="7"/>
      <c r="G58" s="472"/>
      <c r="H58" s="472"/>
      <c r="I58" s="472"/>
      <c r="J58" s="472"/>
      <c r="K58" s="472"/>
      <c r="L58" s="472"/>
      <c r="M58" s="472"/>
      <c r="N58" s="464" t="s">
        <v>47</v>
      </c>
      <c r="O58" s="465" t="str">
        <f>IF(AND('5b. PRESUMPTIVE REGISTER -  PL'!C33 = '3.2 TAT ANALYSIS'!$O$38,
'6b. LAB REGISTER - PL'!F30&lt;&gt;0,
'5b. PRESUMPTIVE REGISTER -  PL'!G33&lt;&gt;0),
'6b. LAB REGISTER - PL'!F30-'5b. PRESUMPTIVE REGISTER -  PL'!G33, "-")</f>
        <v>-</v>
      </c>
      <c r="P58" s="465" t="str">
        <f>IF(AND('5b. PRESUMPTIVE REGISTER -  PL'!C33 = '3.2 TAT ANALYSIS'!$P$38,
'6b. LAB REGISTER - PL'!F30&lt;&gt;0,
'5b. PRESUMPTIVE REGISTER -  PL'!G33&lt;&gt;0),
'6b. LAB REGISTER - PL'!F30-'5b. PRESUMPTIVE REGISTER -  PL'!G33, "-")</f>
        <v>-</v>
      </c>
      <c r="Q58" s="465" t="str">
        <f>IF(AND('5b. PRESUMPTIVE REGISTER -  PL'!C33 = '3.2 TAT ANALYSIS'!$Q$38,
'6b. LAB REGISTER - PL'!F30&lt;&gt;0,
'5b. PRESUMPTIVE REGISTER -  PL'!G33&lt;&gt;0),
'6b. LAB REGISTER - PL'!F30-'5b. PRESUMPTIVE REGISTER -  PL'!G33, "-")</f>
        <v>-</v>
      </c>
      <c r="R58" s="462" t="str">
        <f>IF(AND('5b. PRESUMPTIVE REGISTER -  PL'!C33 = '3.2 TAT ANALYSIS'!$R$38,
'6b. LAB REGISTER - PL'!F30&lt;&gt;0,
'5b. PRESUMPTIVE REGISTER -  PL'!G33&lt;&gt;0),
'6b. LAB REGISTER - PL'!F30-'5b. PRESUMPTIVE REGISTER -  PL'!G33, "-")</f>
        <v>-</v>
      </c>
      <c r="S58" s="462" t="str">
        <f>IF(AND('5b. PRESUMPTIVE REGISTER -  PL'!C33 = '3.2 TAT ANALYSIS'!$S$38,
'6b. LAB REGISTER - PL'!F30&lt;&gt;0,
'5b. PRESUMPTIVE REGISTER -  PL'!G33&lt;&gt;0),
'6b. LAB REGISTER - PL'!F30-'5b. PRESUMPTIVE REGISTER -  PL'!G33, "-")</f>
        <v>-</v>
      </c>
      <c r="T58" s="493" t="str">
        <f>IF(AND('6b. LAB REGISTER - PL'!F30&lt;&gt;0,
'5b. PRESUMPTIVE REGISTER -  PL'!G33&lt;&gt;0),
'6b. LAB REGISTER - PL'!F30-'5b. PRESUMPTIVE REGISTER -  PL'!G33, "-")</f>
        <v>-</v>
      </c>
      <c r="Y58"/>
      <c r="Z58"/>
      <c r="AA58"/>
    </row>
    <row r="59" spans="2:27" ht="25.8" customHeight="1" thickBot="1" x14ac:dyDescent="0.35">
      <c r="B59" s="444"/>
      <c r="C59" s="445"/>
      <c r="D59" s="445"/>
      <c r="E59" s="445"/>
      <c r="F59" s="445"/>
      <c r="G59" s="446"/>
      <c r="H59" s="446"/>
      <c r="I59" s="446"/>
      <c r="J59" s="446"/>
      <c r="K59" s="446"/>
      <c r="L59" s="446"/>
      <c r="M59" s="446"/>
      <c r="N59" s="447" t="s">
        <v>92</v>
      </c>
      <c r="O59" s="443" t="str">
        <f>IF(ISNUMBER(AVERAGE('3.2 TAT ANALYSIS'!$O$39:$O$58)), SUMIF(O39:O58,"&gt;-1")/$O$60, "NA")</f>
        <v>NA</v>
      </c>
      <c r="P59" s="443" t="str">
        <f>IF(ISNUMBER(AVERAGE('3.2 TAT ANALYSIS'!$P$39:$P$58)), SUMIF(P39:P58,"&gt;-1")/$P$60, "NA")</f>
        <v>NA</v>
      </c>
      <c r="Q59" s="443" t="str">
        <f>IF(ISNUMBER(AVERAGE('3.2 TAT ANALYSIS'!$Q$39:$Q$58)), SUMIF(Q39:Q58,"&gt;-1")/$Q$60, "NA")</f>
        <v>NA</v>
      </c>
      <c r="R59" s="443" t="str">
        <f>IF(ISNUMBER(AVERAGE('3.2 TAT ANALYSIS'!$R$39:$R$58)), SUMIF(R39:R58,"&gt;-1")/$R$60, "NA")</f>
        <v>NA</v>
      </c>
      <c r="S59" s="443" t="str">
        <f>IF(ISNUMBER(AVERAGE('3.2 TAT ANALYSIS'!$S$39:$S$58)), SUMIF(S39:S58,"&gt;-1")/$S$60, "NA")</f>
        <v>NA</v>
      </c>
      <c r="T59" s="494" t="str">
        <f>IF(ISNUMBER(AVERAGE('3.2 TAT ANALYSIS'!$T$39:$T$58)), SUMIF(T39:T58,"&gt;-1")/$T$60, "NA")</f>
        <v>NA</v>
      </c>
      <c r="Y59"/>
      <c r="Z59"/>
      <c r="AA59"/>
    </row>
    <row r="60" spans="2:27" ht="25.8" hidden="1" customHeight="1" x14ac:dyDescent="0.3">
      <c r="N60" s="490" t="s">
        <v>330</v>
      </c>
      <c r="O60" s="491">
        <f t="shared" ref="O60:T60" si="1">COUNTIF(O39:O58, "&lt;&gt;-")</f>
        <v>0</v>
      </c>
      <c r="P60" s="491">
        <f t="shared" si="1"/>
        <v>0</v>
      </c>
      <c r="Q60" s="491">
        <f t="shared" si="1"/>
        <v>0</v>
      </c>
      <c r="R60" s="491">
        <f t="shared" si="1"/>
        <v>0</v>
      </c>
      <c r="S60" s="491">
        <f t="shared" si="1"/>
        <v>0</v>
      </c>
      <c r="T60" s="491">
        <f t="shared" si="1"/>
        <v>0</v>
      </c>
      <c r="Y60"/>
      <c r="Z60"/>
      <c r="AA60"/>
    </row>
    <row r="61" spans="2:27" ht="25.8" hidden="1" customHeight="1" x14ac:dyDescent="0.3">
      <c r="N61" s="454" t="s">
        <v>312</v>
      </c>
      <c r="O61" s="457">
        <f>MIN('3.2 TAT ANALYSIS'!$O$39:$O$58)</f>
        <v>0</v>
      </c>
      <c r="P61" s="457">
        <f>MIN('3.2 TAT ANALYSIS'!$P$39:$P$58)</f>
        <v>0</v>
      </c>
      <c r="Q61" s="457">
        <f>MIN('3.2 TAT ANALYSIS'!$Q$39:$Q$58)</f>
        <v>0</v>
      </c>
      <c r="R61" s="457">
        <f>MIN('3.2 TAT ANALYSIS'!$R$39:$R$58)</f>
        <v>0</v>
      </c>
      <c r="S61" s="457">
        <f>MIN('3.2 TAT ANALYSIS'!$S$39:$S$58)</f>
        <v>0</v>
      </c>
      <c r="T61" s="457">
        <f>MIN('3.2 TAT ANALYSIS'!$T$39:$T$58)</f>
        <v>0</v>
      </c>
      <c r="Y61"/>
      <c r="Z61"/>
      <c r="AA61"/>
    </row>
    <row r="62" spans="2:27" ht="25.8" hidden="1" customHeight="1" x14ac:dyDescent="0.3">
      <c r="N62" s="37" t="s">
        <v>313</v>
      </c>
      <c r="O62" s="457" t="str">
        <f>IF(O59&lt;&gt;"NA",AVERAGE('3.2 TAT ANALYSIS'!$O$39:$O$58), "NA")</f>
        <v>NA</v>
      </c>
      <c r="P62" s="457" t="e">
        <f>AVERAGE('3.2 TAT ANALYSIS'!$P$39:$P$58)</f>
        <v>#DIV/0!</v>
      </c>
      <c r="Q62" s="457" t="e">
        <f>AVERAGE('3.2 TAT ANALYSIS'!$Q$39:$Q$58)</f>
        <v>#DIV/0!</v>
      </c>
      <c r="R62" s="457" t="e">
        <f>AVERAGE('3.2 TAT ANALYSIS'!$R$39:$R$58)</f>
        <v>#DIV/0!</v>
      </c>
      <c r="S62" s="457" t="e">
        <f>AVERAGE('3.2 TAT ANALYSIS'!$S$39:$S$58)</f>
        <v>#DIV/0!</v>
      </c>
      <c r="T62" s="457" t="e">
        <f>AVERAGE('3.2 TAT ANALYSIS'!$T$39:$T$58)</f>
        <v>#DIV/0!</v>
      </c>
      <c r="Y62"/>
      <c r="Z62"/>
      <c r="AA62"/>
    </row>
    <row r="63" spans="2:27" ht="25.8" hidden="1" customHeight="1" x14ac:dyDescent="0.3">
      <c r="N63" s="37" t="s">
        <v>314</v>
      </c>
      <c r="O63" s="457">
        <f>MAX('3.2 TAT ANALYSIS'!$O$39:$O$58)</f>
        <v>0</v>
      </c>
      <c r="P63" s="457">
        <f>MAX('3.2 TAT ANALYSIS'!$P$39:$P$58)</f>
        <v>0</v>
      </c>
      <c r="Q63" s="457">
        <f>MAX('3.2 TAT ANALYSIS'!$Q$39:$Q$58)</f>
        <v>0</v>
      </c>
      <c r="R63" s="457">
        <f>MAX('3.2 TAT ANALYSIS'!$R$39:$R$58)</f>
        <v>0</v>
      </c>
      <c r="S63" s="457">
        <f>MAX('3.2 TAT ANALYSIS'!$S$39:$S$58)</f>
        <v>0</v>
      </c>
      <c r="T63" s="457">
        <f>MAX('3.2 TAT ANALYSIS'!$T$39:$T$58)</f>
        <v>0</v>
      </c>
      <c r="Y63"/>
      <c r="Z63"/>
      <c r="AA63"/>
    </row>
    <row r="64" spans="2:27" ht="25.8" hidden="1" customHeight="1" x14ac:dyDescent="0.3">
      <c r="N64" s="37" t="s">
        <v>317</v>
      </c>
      <c r="O64" s="457">
        <f>IF(O59&lt;&gt;"NA", 3, VALUE("-1"))</f>
        <v>-1</v>
      </c>
      <c r="P64" s="457">
        <f>IF(P59&lt;&gt;"NA", 2.5, VALUE("-1"))</f>
        <v>-1</v>
      </c>
      <c r="Q64" s="457">
        <f>IF(Q59&lt;&gt;"NA", 2, VALUE("-1"))</f>
        <v>-1</v>
      </c>
      <c r="R64" s="457">
        <f>IF(R59&lt;&gt;"NA", 1.5, VALUE("-1"))</f>
        <v>-1</v>
      </c>
      <c r="S64" s="457">
        <f>IF(S59&lt;&gt;"NA", 1, VALUE("-1"))</f>
        <v>-1</v>
      </c>
      <c r="T64" s="457">
        <v>0.5</v>
      </c>
      <c r="Y64"/>
      <c r="Z64"/>
      <c r="AA64"/>
    </row>
    <row r="65" spans="2:27" ht="25.8" hidden="1" customHeight="1" x14ac:dyDescent="0.3">
      <c r="N65" s="37" t="s">
        <v>318</v>
      </c>
      <c r="O65" s="457">
        <f>IF(O59&lt;&gt;"NA", 3, VALUE("-1"))</f>
        <v>-1</v>
      </c>
      <c r="P65" s="457">
        <f>IF(P59&lt;&gt;"NA", 2.5, VALUE("-1"))</f>
        <v>-1</v>
      </c>
      <c r="Q65" s="457">
        <f>IF(Q59&lt;&gt;"NA", 2, VALUE("-1"))</f>
        <v>-1</v>
      </c>
      <c r="R65" s="457">
        <f>IF(R59&lt;&gt;"NA", 1.5, VALUE("-1"))</f>
        <v>-1</v>
      </c>
      <c r="S65" s="457">
        <f>IF(S59&lt;&gt;"NA", 1, VALUE("-1"))</f>
        <v>-1</v>
      </c>
      <c r="T65" s="457">
        <v>0.5</v>
      </c>
      <c r="Y65"/>
      <c r="Z65"/>
      <c r="AA65"/>
    </row>
    <row r="66" spans="2:27" ht="25.8" hidden="1" customHeight="1" x14ac:dyDescent="0.3">
      <c r="N66" s="37" t="s">
        <v>319</v>
      </c>
      <c r="O66" s="457">
        <f>IF(O59&lt;&gt;"NA", 3, VALUE("-1"))</f>
        <v>-1</v>
      </c>
      <c r="P66" s="457">
        <f>IF(P59&lt;&gt;"NA", 2.5, VALUE("-1"))</f>
        <v>-1</v>
      </c>
      <c r="Q66" s="457">
        <f>IF(Q59&lt;&gt;"NA", 2, VALUE("-1"))</f>
        <v>-1</v>
      </c>
      <c r="R66" s="457">
        <f>IF(R59&lt;&gt;"NA", 1.5, VALUE("-1"))</f>
        <v>-1</v>
      </c>
      <c r="S66" s="457">
        <f>IF(S59&lt;&gt;"NA", 1, VALUE("-1"))</f>
        <v>-1</v>
      </c>
      <c r="T66" s="457">
        <v>0.5</v>
      </c>
      <c r="Y66"/>
      <c r="Z66"/>
      <c r="AA66"/>
    </row>
    <row r="67" spans="2:27" ht="25.8" customHeight="1" thickBot="1" x14ac:dyDescent="0.35">
      <c r="N67"/>
      <c r="O67" s="455"/>
      <c r="P67" s="455"/>
      <c r="Q67" s="455"/>
      <c r="R67" s="455"/>
      <c r="S67" s="455"/>
      <c r="T67" s="456"/>
      <c r="Y67"/>
      <c r="Z67"/>
      <c r="AA67"/>
    </row>
    <row r="68" spans="2:27" customFormat="1" ht="34.200000000000003" customHeight="1" x14ac:dyDescent="0.3">
      <c r="B68" s="685" t="s">
        <v>308</v>
      </c>
      <c r="C68" s="686"/>
      <c r="D68" s="686"/>
      <c r="E68" s="686"/>
      <c r="F68" s="686"/>
      <c r="G68" s="686"/>
      <c r="H68" s="686"/>
      <c r="I68" s="686"/>
      <c r="J68" s="686"/>
      <c r="K68" s="686"/>
      <c r="L68" s="686"/>
      <c r="M68" s="686"/>
      <c r="N68" s="686"/>
      <c r="O68" s="686"/>
      <c r="P68" s="686"/>
      <c r="Q68" s="686"/>
      <c r="R68" s="686"/>
      <c r="S68" s="686"/>
      <c r="T68" s="687"/>
    </row>
    <row r="69" spans="2:27" customFormat="1" ht="27" customHeight="1" x14ac:dyDescent="0.3">
      <c r="B69" s="111"/>
      <c r="C69" s="112"/>
      <c r="D69" s="112"/>
      <c r="E69" s="112"/>
      <c r="F69" s="112"/>
      <c r="G69" s="112"/>
      <c r="H69" s="112"/>
      <c r="I69" s="112"/>
      <c r="J69" s="112"/>
      <c r="K69" s="112"/>
      <c r="L69" s="112"/>
      <c r="M69" s="112"/>
      <c r="N69" s="423" t="s">
        <v>190</v>
      </c>
      <c r="O69" s="423" t="str">
        <f>IF('1. ASSESSMENT PROFILE'!D38&lt;&gt;"", '1. ASSESSMENT PROFILE'!D38,"")</f>
        <v/>
      </c>
      <c r="P69" s="423" t="str">
        <f>IF('1. ASSESSMENT PROFILE'!D39&lt;&gt;"", '1. ASSESSMENT PROFILE'!D39,"")</f>
        <v/>
      </c>
      <c r="Q69" s="423" t="str">
        <f>IF('1. ASSESSMENT PROFILE'!D40&lt;&gt;"", '1. ASSESSMENT PROFILE'!D40,"")</f>
        <v/>
      </c>
      <c r="R69" s="423" t="str">
        <f>IF('1. ASSESSMENT PROFILE'!D41&lt;&gt;"", '1. ASSESSMENT PROFILE'!D41,"")</f>
        <v/>
      </c>
      <c r="S69" s="423" t="str">
        <f>IF('1. ASSESSMENT PROFILE'!D42&lt;&gt;"", '1. ASSESSMENT PROFILE'!D42,"")</f>
        <v/>
      </c>
      <c r="T69" s="435" t="s">
        <v>306</v>
      </c>
    </row>
    <row r="70" spans="2:27" customFormat="1" ht="27" customHeight="1" x14ac:dyDescent="0.3">
      <c r="B70" s="111"/>
      <c r="C70" s="112"/>
      <c r="D70" s="112"/>
      <c r="E70" s="112"/>
      <c r="F70" s="112"/>
      <c r="G70" s="112"/>
      <c r="H70" s="112"/>
      <c r="I70" s="112"/>
      <c r="J70" s="112"/>
      <c r="K70" s="112"/>
      <c r="L70" s="112"/>
      <c r="M70" s="112"/>
      <c r="N70" s="420" t="s">
        <v>9</v>
      </c>
      <c r="O70" s="496" t="str">
        <f>IF(AND('5b. PRESUMPTIVE REGISTER -  PL'!C14 = '3.2 TAT ANALYSIS'!$O$69,
'6b. LAB REGISTER - PL'!F11&lt;&gt;0,
'6b. LAB REGISTER - PL'!N11&lt;&gt;0),
'6b. LAB REGISTER - PL'!N11-'6b. LAB REGISTER - PL'!F11,"-")</f>
        <v>-</v>
      </c>
      <c r="P70" s="496" t="str">
        <f>IF(AND('5b. PRESUMPTIVE REGISTER -  PL'!C14 = '3.2 TAT ANALYSIS'!$P$69,
'6b. LAB REGISTER - PL'!F11&lt;&gt;0,
'6b. LAB REGISTER - PL'!N11&lt;&gt;0),
'6b. LAB REGISTER - PL'!N11-'6b. LAB REGISTER - PL'!F11,"-")</f>
        <v>-</v>
      </c>
      <c r="Q70" s="496" t="str">
        <f>IF(AND('5b. PRESUMPTIVE REGISTER -  PL'!C14 = '3.2 TAT ANALYSIS'!$Q$69,
'6b. LAB REGISTER - PL'!F11&lt;&gt;0,
'6b. LAB REGISTER - PL'!N11&lt;&gt;0),
'6b. LAB REGISTER - PL'!N11-'6b. LAB REGISTER - PL'!F11,"-")</f>
        <v>-</v>
      </c>
      <c r="R70" s="496" t="str">
        <f>IF(AND('5b. PRESUMPTIVE REGISTER -  PL'!C14 = '3.2 TAT ANALYSIS'!$R$69,
'6b. LAB REGISTER - PL'!F11&lt;&gt;0,
'6b. LAB REGISTER - PL'!N11&lt;&gt;0),
'6b. LAB REGISTER - PL'!N11-'6b. LAB REGISTER - PL'!F11,"-")</f>
        <v>-</v>
      </c>
      <c r="S70" s="496" t="str">
        <f>IF(AND('5b. PRESUMPTIVE REGISTER -  PL'!C14 = '3.2 TAT ANALYSIS'!$S$69,
'6b. LAB REGISTER - PL'!F11&lt;&gt;0,
'6b. LAB REGISTER - PL'!N11&lt;&gt;0),
'6b. LAB REGISTER - PL'!N11-'6b. LAB REGISTER - PL'!F11,"-")</f>
        <v>-</v>
      </c>
      <c r="T70" s="502" t="str">
        <f>IF(AND('6b. LAB REGISTER - PL'!F11&lt;&gt;0,
'6b. LAB REGISTER - PL'!N11&lt;&gt;0),
'6b. LAB REGISTER - PL'!N11-'6b. LAB REGISTER - PL'!F11,"-")</f>
        <v>-</v>
      </c>
    </row>
    <row r="71" spans="2:27" customFormat="1" ht="27" customHeight="1" x14ac:dyDescent="0.3">
      <c r="B71" s="111"/>
      <c r="C71" s="112"/>
      <c r="D71" s="112"/>
      <c r="E71" s="112"/>
      <c r="F71" s="112"/>
      <c r="G71" s="112"/>
      <c r="H71" s="112"/>
      <c r="I71" s="112"/>
      <c r="J71" s="112"/>
      <c r="K71" s="112"/>
      <c r="L71" s="112"/>
      <c r="M71" s="112"/>
      <c r="N71" s="497" t="s">
        <v>10</v>
      </c>
      <c r="O71" s="496" t="str">
        <f>IF(AND('5b. PRESUMPTIVE REGISTER -  PL'!C15 = '3.2 TAT ANALYSIS'!$O$69,
'6b. LAB REGISTER - PL'!F12&lt;&gt;0,
'6b. LAB REGISTER - PL'!N12&lt;&gt;0),
'6b. LAB REGISTER - PL'!N12-'6b. LAB REGISTER - PL'!F12,"-")</f>
        <v>-</v>
      </c>
      <c r="P71" s="496" t="str">
        <f>IF(AND('5b. PRESUMPTIVE REGISTER -  PL'!C15 = '3.2 TAT ANALYSIS'!$P$69,
'6b. LAB REGISTER - PL'!F12&lt;&gt;0,
'6b. LAB REGISTER - PL'!N12&lt;&gt;0),
'6b. LAB REGISTER - PL'!N12-'6b. LAB REGISTER - PL'!F12,"-")</f>
        <v>-</v>
      </c>
      <c r="Q71" s="496" t="str">
        <f>IF(AND('5b. PRESUMPTIVE REGISTER -  PL'!C15 = '3.2 TAT ANALYSIS'!$Q$69,
'6b. LAB REGISTER - PL'!F12&lt;&gt;0,
'6b. LAB REGISTER - PL'!N12&lt;&gt;0),
'6b. LAB REGISTER - PL'!N12-'6b. LAB REGISTER - PL'!F12,"-")</f>
        <v>-</v>
      </c>
      <c r="R71" s="496" t="str">
        <f>IF(AND('5b. PRESUMPTIVE REGISTER -  PL'!C15 = '3.2 TAT ANALYSIS'!$R$69,
'6b. LAB REGISTER - PL'!F12&lt;&gt;0,
'6b. LAB REGISTER - PL'!N12&lt;&gt;0),
'6b. LAB REGISTER - PL'!N12-'6b. LAB REGISTER - PL'!F12,"-")</f>
        <v>-</v>
      </c>
      <c r="S71" s="496" t="str">
        <f>IF(AND('5b. PRESUMPTIVE REGISTER -  PL'!C15 = '3.2 TAT ANALYSIS'!$S$69,
'6b. LAB REGISTER - PL'!F12&lt;&gt;0,
'6b. LAB REGISTER - PL'!N12&lt;&gt;0),
'6b. LAB REGISTER - PL'!N12-'6b. LAB REGISTER - PL'!F12,"-")</f>
        <v>-</v>
      </c>
      <c r="T71" s="502" t="str">
        <f>IF(AND('6b. LAB REGISTER - PL'!F12&lt;&gt;0,
'6b. LAB REGISTER - PL'!N12&lt;&gt;0),
'6b. LAB REGISTER - PL'!N12-'6b. LAB REGISTER - PL'!F12,"-")</f>
        <v>-</v>
      </c>
    </row>
    <row r="72" spans="2:27" customFormat="1" ht="27" customHeight="1" x14ac:dyDescent="0.3">
      <c r="B72" s="111"/>
      <c r="C72" s="112"/>
      <c r="D72" s="112"/>
      <c r="E72" s="112"/>
      <c r="F72" s="112"/>
      <c r="G72" s="112"/>
      <c r="H72" s="112"/>
      <c r="I72" s="112"/>
      <c r="J72" s="112"/>
      <c r="K72" s="112"/>
      <c r="L72" s="112"/>
      <c r="M72" s="112"/>
      <c r="N72" s="420" t="s">
        <v>11</v>
      </c>
      <c r="O72" s="496" t="str">
        <f>IF(AND('5b. PRESUMPTIVE REGISTER -  PL'!C16 = '3.2 TAT ANALYSIS'!$O$69,
'6b. LAB REGISTER - PL'!F13&lt;&gt;0,
'6b. LAB REGISTER - PL'!N13&lt;&gt;0),
'6b. LAB REGISTER - PL'!N13-'6b. LAB REGISTER - PL'!F13,"-")</f>
        <v>-</v>
      </c>
      <c r="P72" s="496" t="str">
        <f>IF(AND('5b. PRESUMPTIVE REGISTER -  PL'!C16 = '3.2 TAT ANALYSIS'!$P$69,
'6b. LAB REGISTER - PL'!F13&lt;&gt;0,
'6b. LAB REGISTER - PL'!N13&lt;&gt;0),
'6b. LAB REGISTER - PL'!N13-'6b. LAB REGISTER - PL'!F13,"-")</f>
        <v>-</v>
      </c>
      <c r="Q72" s="496" t="str">
        <f>IF(AND('5b. PRESUMPTIVE REGISTER -  PL'!C16 = '3.2 TAT ANALYSIS'!$Q$69,
'6b. LAB REGISTER - PL'!F13&lt;&gt;0,
'6b. LAB REGISTER - PL'!N13&lt;&gt;0),
'6b. LAB REGISTER - PL'!N13-'6b. LAB REGISTER - PL'!F13,"-")</f>
        <v>-</v>
      </c>
      <c r="R72" s="496" t="str">
        <f>IF(AND('5b. PRESUMPTIVE REGISTER -  PL'!C16 = '3.2 TAT ANALYSIS'!$R$69,
'6b. LAB REGISTER - PL'!F13&lt;&gt;0,
'6b. LAB REGISTER - PL'!N13&lt;&gt;0),
'6b. LAB REGISTER - PL'!N13-'6b. LAB REGISTER - PL'!F13,"-")</f>
        <v>-</v>
      </c>
      <c r="S72" s="496" t="str">
        <f>IF(AND('5b. PRESUMPTIVE REGISTER -  PL'!C16 = '3.2 TAT ANALYSIS'!$S$69,
'6b. LAB REGISTER - PL'!F13&lt;&gt;0,
'6b. LAB REGISTER - PL'!N13&lt;&gt;0),
'6b. LAB REGISTER - PL'!N13-'6b. LAB REGISTER - PL'!F13,"-")</f>
        <v>-</v>
      </c>
      <c r="T72" s="502" t="str">
        <f>IF(AND('6b. LAB REGISTER - PL'!F13&lt;&gt;0,
'6b. LAB REGISTER - PL'!N13&lt;&gt;0),
'6b. LAB REGISTER - PL'!N13-'6b. LAB REGISTER - PL'!F13,"-")</f>
        <v>-</v>
      </c>
    </row>
    <row r="73" spans="2:27" customFormat="1" ht="27" customHeight="1" x14ac:dyDescent="0.3">
      <c r="B73" s="111"/>
      <c r="C73" s="112"/>
      <c r="D73" s="112"/>
      <c r="E73" s="112"/>
      <c r="F73" s="112"/>
      <c r="G73" s="112"/>
      <c r="H73" s="112"/>
      <c r="I73" s="112"/>
      <c r="J73" s="112"/>
      <c r="K73" s="112"/>
      <c r="L73" s="112"/>
      <c r="M73" s="112"/>
      <c r="N73" s="420" t="s">
        <v>12</v>
      </c>
      <c r="O73" s="496" t="str">
        <f>IF(AND('5b. PRESUMPTIVE REGISTER -  PL'!C17 = '3.2 TAT ANALYSIS'!$O$69,
'6b. LAB REGISTER - PL'!F14&lt;&gt;0,
'6b. LAB REGISTER - PL'!N14&lt;&gt;0),
'6b. LAB REGISTER - PL'!N14-'6b. LAB REGISTER - PL'!F14,"-")</f>
        <v>-</v>
      </c>
      <c r="P73" s="496" t="str">
        <f>IF(AND('5b. PRESUMPTIVE REGISTER -  PL'!C17 = '3.2 TAT ANALYSIS'!$P$69,
'6b. LAB REGISTER - PL'!F14&lt;&gt;0,
'6b. LAB REGISTER - PL'!N14&lt;&gt;0),
'6b. LAB REGISTER - PL'!N14-'6b. LAB REGISTER - PL'!F14,"-")</f>
        <v>-</v>
      </c>
      <c r="Q73" s="496" t="str">
        <f>IF(AND('5b. PRESUMPTIVE REGISTER -  PL'!C17 = '3.2 TAT ANALYSIS'!$Q$69,
'6b. LAB REGISTER - PL'!F14&lt;&gt;0,
'6b. LAB REGISTER - PL'!N14&lt;&gt;0),
'6b. LAB REGISTER - PL'!N14-'6b. LAB REGISTER - PL'!F14,"-")</f>
        <v>-</v>
      </c>
      <c r="R73" s="496" t="str">
        <f>IF(AND('5b. PRESUMPTIVE REGISTER -  PL'!C17 = '3.2 TAT ANALYSIS'!$R$69,
'6b. LAB REGISTER - PL'!F14&lt;&gt;0,
'6b. LAB REGISTER - PL'!N14&lt;&gt;0),
'6b. LAB REGISTER - PL'!N14-'6b. LAB REGISTER - PL'!F14,"-")</f>
        <v>-</v>
      </c>
      <c r="S73" s="496" t="str">
        <f>IF(AND('5b. PRESUMPTIVE REGISTER -  PL'!C17 = '3.2 TAT ANALYSIS'!$S$69,
'6b. LAB REGISTER - PL'!F14&lt;&gt;0,
'6b. LAB REGISTER - PL'!N14&lt;&gt;0),
'6b. LAB REGISTER - PL'!N14-'6b. LAB REGISTER - PL'!F14,"-")</f>
        <v>-</v>
      </c>
      <c r="T73" s="502" t="str">
        <f>IF(AND('6b. LAB REGISTER - PL'!F14&lt;&gt;0,
'6b. LAB REGISTER - PL'!N14&lt;&gt;0),
'6b. LAB REGISTER - PL'!N14-'6b. LAB REGISTER - PL'!F14,"-")</f>
        <v>-</v>
      </c>
    </row>
    <row r="74" spans="2:27" customFormat="1" ht="27" customHeight="1" x14ac:dyDescent="0.3">
      <c r="B74" s="111"/>
      <c r="C74" s="112"/>
      <c r="D74" s="112"/>
      <c r="E74" s="112"/>
      <c r="F74" s="112"/>
      <c r="G74" s="112"/>
      <c r="H74" s="112"/>
      <c r="I74" s="112"/>
      <c r="J74" s="112"/>
      <c r="K74" s="112"/>
      <c r="L74" s="112"/>
      <c r="M74" s="112"/>
      <c r="N74" s="420" t="s">
        <v>32</v>
      </c>
      <c r="O74" s="496" t="str">
        <f>IF(AND('5b. PRESUMPTIVE REGISTER -  PL'!C18 = '3.2 TAT ANALYSIS'!$O$69,
'6b. LAB REGISTER - PL'!F15&lt;&gt;0,
'6b. LAB REGISTER - PL'!N15&lt;&gt;0),
'6b. LAB REGISTER - PL'!N15-'6b. LAB REGISTER - PL'!F15,"-")</f>
        <v>-</v>
      </c>
      <c r="P74" s="496" t="str">
        <f>IF(AND('5b. PRESUMPTIVE REGISTER -  PL'!C18 = '3.2 TAT ANALYSIS'!$P$69,
'6b. LAB REGISTER - PL'!F15&lt;&gt;0,
'6b. LAB REGISTER - PL'!N15&lt;&gt;0),
'6b. LAB REGISTER - PL'!N15-'6b. LAB REGISTER - PL'!F15,"-")</f>
        <v>-</v>
      </c>
      <c r="Q74" s="496" t="str">
        <f>IF(AND('5b. PRESUMPTIVE REGISTER -  PL'!C18 = '3.2 TAT ANALYSIS'!$Q$69,
'6b. LAB REGISTER - PL'!F15&lt;&gt;0,
'6b. LAB REGISTER - PL'!N15&lt;&gt;0),
'6b. LAB REGISTER - PL'!N15-'6b. LAB REGISTER - PL'!F15,"-")</f>
        <v>-</v>
      </c>
      <c r="R74" s="496" t="str">
        <f>IF(AND('5b. PRESUMPTIVE REGISTER -  PL'!C18 = '3.2 TAT ANALYSIS'!$R$69,
'6b. LAB REGISTER - PL'!F15&lt;&gt;0,
'6b. LAB REGISTER - PL'!N15&lt;&gt;0),
'6b. LAB REGISTER - PL'!N15-'6b. LAB REGISTER - PL'!F15,"-")</f>
        <v>-</v>
      </c>
      <c r="S74" s="496" t="str">
        <f>IF(AND('5b. PRESUMPTIVE REGISTER -  PL'!C18 = '3.2 TAT ANALYSIS'!$S$69,
'6b. LAB REGISTER - PL'!F15&lt;&gt;0,
'6b. LAB REGISTER - PL'!N15&lt;&gt;0),
'6b. LAB REGISTER - PL'!N15-'6b. LAB REGISTER - PL'!F15,"-")</f>
        <v>-</v>
      </c>
      <c r="T74" s="502" t="str">
        <f>IF(AND('6b. LAB REGISTER - PL'!F15&lt;&gt;0,
'6b. LAB REGISTER - PL'!N15&lt;&gt;0),
'6b. LAB REGISTER - PL'!N15-'6b. LAB REGISTER - PL'!F15,"-")</f>
        <v>-</v>
      </c>
    </row>
    <row r="75" spans="2:27" customFormat="1" ht="27" customHeight="1" x14ac:dyDescent="0.3">
      <c r="B75" s="111"/>
      <c r="C75" s="112"/>
      <c r="D75" s="112"/>
      <c r="E75" s="112"/>
      <c r="F75" s="112"/>
      <c r="G75" s="112"/>
      <c r="H75" s="112"/>
      <c r="I75" s="112"/>
      <c r="J75" s="112"/>
      <c r="K75" s="112"/>
      <c r="L75" s="112"/>
      <c r="M75" s="112"/>
      <c r="N75" s="420" t="s">
        <v>33</v>
      </c>
      <c r="O75" s="496" t="str">
        <f>IF(AND('5b. PRESUMPTIVE REGISTER -  PL'!C19 = '3.2 TAT ANALYSIS'!$O$69,
'6b. LAB REGISTER - PL'!F16&lt;&gt;0,
'6b. LAB REGISTER - PL'!N16&lt;&gt;0),
'6b. LAB REGISTER - PL'!N16-'6b. LAB REGISTER - PL'!F16,"-")</f>
        <v>-</v>
      </c>
      <c r="P75" s="496" t="str">
        <f>IF(AND('5b. PRESUMPTIVE REGISTER -  PL'!C19 = '3.2 TAT ANALYSIS'!$P$69,
'6b. LAB REGISTER - PL'!F16&lt;&gt;0,
'6b. LAB REGISTER - PL'!N16&lt;&gt;0),
'6b. LAB REGISTER - PL'!N16-'6b. LAB REGISTER - PL'!F16,"-")</f>
        <v>-</v>
      </c>
      <c r="Q75" s="496" t="str">
        <f>IF(AND('5b. PRESUMPTIVE REGISTER -  PL'!C19 = '3.2 TAT ANALYSIS'!$Q$69,
'6b. LAB REGISTER - PL'!F16&lt;&gt;0,
'6b. LAB REGISTER - PL'!N16&lt;&gt;0),
'6b. LAB REGISTER - PL'!N16-'6b. LAB REGISTER - PL'!F16,"-")</f>
        <v>-</v>
      </c>
      <c r="R75" s="496" t="str">
        <f>IF(AND('5b. PRESUMPTIVE REGISTER -  PL'!C19 = '3.2 TAT ANALYSIS'!$R$69,
'6b. LAB REGISTER - PL'!F16&lt;&gt;0,
'6b. LAB REGISTER - PL'!N16&lt;&gt;0),
'6b. LAB REGISTER - PL'!N16-'6b. LAB REGISTER - PL'!F16,"-")</f>
        <v>-</v>
      </c>
      <c r="S75" s="496" t="str">
        <f>IF(AND('5b. PRESUMPTIVE REGISTER -  PL'!C19 = '3.2 TAT ANALYSIS'!$S$69,
'6b. LAB REGISTER - PL'!F16&lt;&gt;0,
'6b. LAB REGISTER - PL'!N16&lt;&gt;0),
'6b. LAB REGISTER - PL'!N16-'6b. LAB REGISTER - PL'!F16,"-")</f>
        <v>-</v>
      </c>
      <c r="T75" s="502" t="str">
        <f>IF(AND('6b. LAB REGISTER - PL'!F16&lt;&gt;0,
'6b. LAB REGISTER - PL'!N16&lt;&gt;0),
'6b. LAB REGISTER - PL'!N16-'6b. LAB REGISTER - PL'!F16,"-")</f>
        <v>-</v>
      </c>
    </row>
    <row r="76" spans="2:27" customFormat="1" ht="27" customHeight="1" x14ac:dyDescent="0.3">
      <c r="B76" s="111"/>
      <c r="C76" s="112"/>
      <c r="D76" s="112"/>
      <c r="E76" s="112"/>
      <c r="F76" s="112"/>
      <c r="G76" s="112"/>
      <c r="H76" s="112"/>
      <c r="I76" s="112"/>
      <c r="J76" s="112"/>
      <c r="K76" s="112"/>
      <c r="L76" s="112"/>
      <c r="M76" s="112"/>
      <c r="N76" s="420" t="s">
        <v>34</v>
      </c>
      <c r="O76" s="496" t="str">
        <f>IF(AND('5b. PRESUMPTIVE REGISTER -  PL'!C20 = '3.2 TAT ANALYSIS'!$O$69,
'6b. LAB REGISTER - PL'!F17&lt;&gt;0,
'6b. LAB REGISTER - PL'!N17&lt;&gt;0),
'6b. LAB REGISTER - PL'!N17-'6b. LAB REGISTER - PL'!F17,"-")</f>
        <v>-</v>
      </c>
      <c r="P76" s="496" t="str">
        <f>IF(AND('5b. PRESUMPTIVE REGISTER -  PL'!C20 = '3.2 TAT ANALYSIS'!$P$69,
'6b. LAB REGISTER - PL'!F17&lt;&gt;0,
'6b. LAB REGISTER - PL'!N17&lt;&gt;0),
'6b. LAB REGISTER - PL'!N17-'6b. LAB REGISTER - PL'!F17,"-")</f>
        <v>-</v>
      </c>
      <c r="Q76" s="496" t="str">
        <f>IF(AND('5b. PRESUMPTIVE REGISTER -  PL'!C20 = '3.2 TAT ANALYSIS'!$Q$69,
'6b. LAB REGISTER - PL'!F17&lt;&gt;0,
'6b. LAB REGISTER - PL'!N17&lt;&gt;0),
'6b. LAB REGISTER - PL'!N17-'6b. LAB REGISTER - PL'!F17,"-")</f>
        <v>-</v>
      </c>
      <c r="R76" s="496" t="str">
        <f>IF(AND('5b. PRESUMPTIVE REGISTER -  PL'!C20 = '3.2 TAT ANALYSIS'!$R$69,
'6b. LAB REGISTER - PL'!F17&lt;&gt;0,
'6b. LAB REGISTER - PL'!N17&lt;&gt;0),
'6b. LAB REGISTER - PL'!N17-'6b. LAB REGISTER - PL'!F17,"-")</f>
        <v>-</v>
      </c>
      <c r="S76" s="496" t="str">
        <f>IF(AND('5b. PRESUMPTIVE REGISTER -  PL'!C20 = '3.2 TAT ANALYSIS'!$S$69,
'6b. LAB REGISTER - PL'!F17&lt;&gt;0,
'6b. LAB REGISTER - PL'!N17&lt;&gt;0),
'6b. LAB REGISTER - PL'!N17-'6b. LAB REGISTER - PL'!F17,"-")</f>
        <v>-</v>
      </c>
      <c r="T76" s="502" t="str">
        <f>IF(AND('6b. LAB REGISTER - PL'!F17&lt;&gt;0,
'6b. LAB REGISTER - PL'!N17&lt;&gt;0),
'6b. LAB REGISTER - PL'!N17-'6b. LAB REGISTER - PL'!F17,"-")</f>
        <v>-</v>
      </c>
    </row>
    <row r="77" spans="2:27" customFormat="1" ht="27" customHeight="1" x14ac:dyDescent="0.3">
      <c r="B77" s="111"/>
      <c r="C77" s="112"/>
      <c r="D77" s="112"/>
      <c r="E77" s="112"/>
      <c r="F77" s="112"/>
      <c r="G77" s="112"/>
      <c r="H77" s="112"/>
      <c r="I77" s="112"/>
      <c r="J77" s="112"/>
      <c r="K77" s="112"/>
      <c r="L77" s="112"/>
      <c r="M77" s="112"/>
      <c r="N77" s="420" t="s">
        <v>35</v>
      </c>
      <c r="O77" s="496" t="str">
        <f>IF(AND('5b. PRESUMPTIVE REGISTER -  PL'!C21 = '3.2 TAT ANALYSIS'!$O$69,
'6b. LAB REGISTER - PL'!F18&lt;&gt;0,
'6b. LAB REGISTER - PL'!N18&lt;&gt;0),
'6b. LAB REGISTER - PL'!N18-'6b. LAB REGISTER - PL'!F18,"-")</f>
        <v>-</v>
      </c>
      <c r="P77" s="496" t="str">
        <f>IF(AND('5b. PRESUMPTIVE REGISTER -  PL'!C21 = '3.2 TAT ANALYSIS'!$P$69,
'6b. LAB REGISTER - PL'!F18&lt;&gt;0,
'6b. LAB REGISTER - PL'!N18&lt;&gt;0),
'6b. LAB REGISTER - PL'!N18-'6b. LAB REGISTER - PL'!F18,"-")</f>
        <v>-</v>
      </c>
      <c r="Q77" s="496" t="str">
        <f>IF(AND('5b. PRESUMPTIVE REGISTER -  PL'!C21 = '3.2 TAT ANALYSIS'!$Q$69,
'6b. LAB REGISTER - PL'!F18&lt;&gt;0,
'6b. LAB REGISTER - PL'!N18&lt;&gt;0),
'6b. LAB REGISTER - PL'!N18-'6b. LAB REGISTER - PL'!F18,"-")</f>
        <v>-</v>
      </c>
      <c r="R77" s="496" t="str">
        <f>IF(AND('5b. PRESUMPTIVE REGISTER -  PL'!C21 = '3.2 TAT ANALYSIS'!$R$69,
'6b. LAB REGISTER - PL'!F18&lt;&gt;0,
'6b. LAB REGISTER - PL'!N18&lt;&gt;0),
'6b. LAB REGISTER - PL'!N18-'6b. LAB REGISTER - PL'!F18,"-")</f>
        <v>-</v>
      </c>
      <c r="S77" s="496" t="str">
        <f>IF(AND('5b. PRESUMPTIVE REGISTER -  PL'!C21 = '3.2 TAT ANALYSIS'!$S$69,
'6b. LAB REGISTER - PL'!F18&lt;&gt;0,
'6b. LAB REGISTER - PL'!N18&lt;&gt;0),
'6b. LAB REGISTER - PL'!N18-'6b. LAB REGISTER - PL'!F18,"-")</f>
        <v>-</v>
      </c>
      <c r="T77" s="502" t="str">
        <f>IF(AND('6b. LAB REGISTER - PL'!F18&lt;&gt;0,
'6b. LAB REGISTER - PL'!N18&lt;&gt;0),
'6b. LAB REGISTER - PL'!N18-'6b. LAB REGISTER - PL'!F18,"-")</f>
        <v>-</v>
      </c>
    </row>
    <row r="78" spans="2:27" customFormat="1" ht="27" customHeight="1" x14ac:dyDescent="0.3">
      <c r="B78" s="111"/>
      <c r="C78" s="112"/>
      <c r="D78" s="112"/>
      <c r="E78" s="112"/>
      <c r="F78" s="112"/>
      <c r="G78" s="112"/>
      <c r="H78" s="112"/>
      <c r="I78" s="112"/>
      <c r="J78" s="112"/>
      <c r="K78" s="112"/>
      <c r="L78" s="112"/>
      <c r="M78" s="112"/>
      <c r="N78" s="420" t="s">
        <v>36</v>
      </c>
      <c r="O78" s="496" t="str">
        <f>IF(AND('5b. PRESUMPTIVE REGISTER -  PL'!C22 = '3.2 TAT ANALYSIS'!$O$69,
'6b. LAB REGISTER - PL'!F19&lt;&gt;0,
'6b. LAB REGISTER - PL'!N19&lt;&gt;0),
'6b. LAB REGISTER - PL'!N19-'6b. LAB REGISTER - PL'!F19,"-")</f>
        <v>-</v>
      </c>
      <c r="P78" s="496" t="str">
        <f>IF(AND('5b. PRESUMPTIVE REGISTER -  PL'!C22 = '3.2 TAT ANALYSIS'!$P$69,
'6b. LAB REGISTER - PL'!F19&lt;&gt;0,
'6b. LAB REGISTER - PL'!N19&lt;&gt;0),
'6b. LAB REGISTER - PL'!N19-'6b. LAB REGISTER - PL'!F19,"-")</f>
        <v>-</v>
      </c>
      <c r="Q78" s="496" t="str">
        <f>IF(AND('5b. PRESUMPTIVE REGISTER -  PL'!C22 = '3.2 TAT ANALYSIS'!$Q$69,
'6b. LAB REGISTER - PL'!F19&lt;&gt;0,
'6b. LAB REGISTER - PL'!N19&lt;&gt;0),
'6b. LAB REGISTER - PL'!N19-'6b. LAB REGISTER - PL'!F19,"-")</f>
        <v>-</v>
      </c>
      <c r="R78" s="496" t="str">
        <f>IF(AND('5b. PRESUMPTIVE REGISTER -  PL'!C22 = '3.2 TAT ANALYSIS'!$R$69,
'6b. LAB REGISTER - PL'!F19&lt;&gt;0,
'6b. LAB REGISTER - PL'!N19&lt;&gt;0),
'6b. LAB REGISTER - PL'!N19-'6b. LAB REGISTER - PL'!F19,"-")</f>
        <v>-</v>
      </c>
      <c r="S78" s="496" t="str">
        <f>IF(AND('5b. PRESUMPTIVE REGISTER -  PL'!C22 = '3.2 TAT ANALYSIS'!$S$69,
'6b. LAB REGISTER - PL'!F19&lt;&gt;0,
'6b. LAB REGISTER - PL'!N19&lt;&gt;0),
'6b. LAB REGISTER - PL'!N19-'6b. LAB REGISTER - PL'!F19,"-")</f>
        <v>-</v>
      </c>
      <c r="T78" s="502" t="str">
        <f>IF(AND('6b. LAB REGISTER - PL'!F19&lt;&gt;0,
'6b. LAB REGISTER - PL'!N19&lt;&gt;0),
'6b. LAB REGISTER - PL'!N19-'6b. LAB REGISTER - PL'!F19,"-")</f>
        <v>-</v>
      </c>
    </row>
    <row r="79" spans="2:27" customFormat="1" ht="27" customHeight="1" x14ac:dyDescent="0.3">
      <c r="B79" s="111"/>
      <c r="C79" s="112"/>
      <c r="D79" s="112"/>
      <c r="E79" s="112"/>
      <c r="F79" s="112"/>
      <c r="G79" s="112"/>
      <c r="H79" s="112"/>
      <c r="I79" s="112"/>
      <c r="J79" s="112"/>
      <c r="K79" s="112"/>
      <c r="L79" s="112"/>
      <c r="M79" s="112"/>
      <c r="N79" s="420" t="s">
        <v>37</v>
      </c>
      <c r="O79" s="496" t="str">
        <f>IF(AND('5b. PRESUMPTIVE REGISTER -  PL'!C23 = '3.2 TAT ANALYSIS'!$O$69,
'6b. LAB REGISTER - PL'!F20&lt;&gt;0,
'6b. LAB REGISTER - PL'!N20&lt;&gt;0),
'6b. LAB REGISTER - PL'!N20-'6b. LAB REGISTER - PL'!F20,"-")</f>
        <v>-</v>
      </c>
      <c r="P79" s="496" t="str">
        <f>IF(AND('5b. PRESUMPTIVE REGISTER -  PL'!C23 = '3.2 TAT ANALYSIS'!$P$69,
'6b. LAB REGISTER - PL'!F20&lt;&gt;0,
'6b. LAB REGISTER - PL'!N20&lt;&gt;0),
'6b. LAB REGISTER - PL'!N20-'6b. LAB REGISTER - PL'!F20,"-")</f>
        <v>-</v>
      </c>
      <c r="Q79" s="496" t="str">
        <f>IF(AND('5b. PRESUMPTIVE REGISTER -  PL'!C23 = '3.2 TAT ANALYSIS'!$Q$69,
'6b. LAB REGISTER - PL'!F20&lt;&gt;0,
'6b. LAB REGISTER - PL'!N20&lt;&gt;0),
'6b. LAB REGISTER - PL'!N20-'6b. LAB REGISTER - PL'!F20,"-")</f>
        <v>-</v>
      </c>
      <c r="R79" s="496" t="str">
        <f>IF(AND('5b. PRESUMPTIVE REGISTER -  PL'!C23 = '3.2 TAT ANALYSIS'!$R$69,
'6b. LAB REGISTER - PL'!F20&lt;&gt;0,
'6b. LAB REGISTER - PL'!N20&lt;&gt;0),
'6b. LAB REGISTER - PL'!N20-'6b. LAB REGISTER - PL'!F20,"-")</f>
        <v>-</v>
      </c>
      <c r="S79" s="496" t="str">
        <f>IF(AND('5b. PRESUMPTIVE REGISTER -  PL'!C23 = '3.2 TAT ANALYSIS'!$S$69,
'6b. LAB REGISTER - PL'!F20&lt;&gt;0,
'6b. LAB REGISTER - PL'!N20&lt;&gt;0),
'6b. LAB REGISTER - PL'!N20-'6b. LAB REGISTER - PL'!F20,"-")</f>
        <v>-</v>
      </c>
      <c r="T79" s="502" t="str">
        <f>IF(AND('6b. LAB REGISTER - PL'!F20&lt;&gt;0,
'6b. LAB REGISTER - PL'!N20&lt;&gt;0),
'6b. LAB REGISTER - PL'!N20-'6b. LAB REGISTER - PL'!F20,"-")</f>
        <v>-</v>
      </c>
    </row>
    <row r="80" spans="2:27" customFormat="1" ht="27" customHeight="1" x14ac:dyDescent="0.3">
      <c r="B80" s="111"/>
      <c r="C80" s="112"/>
      <c r="D80" s="112"/>
      <c r="E80" s="112"/>
      <c r="F80" s="112"/>
      <c r="G80" s="112"/>
      <c r="H80" s="112"/>
      <c r="I80" s="112"/>
      <c r="J80" s="112"/>
      <c r="K80" s="112"/>
      <c r="L80" s="112"/>
      <c r="M80" s="112"/>
      <c r="N80" s="420" t="s">
        <v>38</v>
      </c>
      <c r="O80" s="496" t="str">
        <f>IF(AND('5b. PRESUMPTIVE REGISTER -  PL'!C24 = '3.2 TAT ANALYSIS'!$O$69,
'6b. LAB REGISTER - PL'!F21&lt;&gt;0,
'6b. LAB REGISTER - PL'!N21&lt;&gt;0),
'6b. LAB REGISTER - PL'!N21-'6b. LAB REGISTER - PL'!F21,"-")</f>
        <v>-</v>
      </c>
      <c r="P80" s="496" t="str">
        <f>IF(AND('5b. PRESUMPTIVE REGISTER -  PL'!C24 = '3.2 TAT ANALYSIS'!$P$69,
'6b. LAB REGISTER - PL'!F21&lt;&gt;0,
'6b. LAB REGISTER - PL'!N21&lt;&gt;0),
'6b. LAB REGISTER - PL'!N21-'6b. LAB REGISTER - PL'!F21,"-")</f>
        <v>-</v>
      </c>
      <c r="Q80" s="496" t="str">
        <f>IF(AND('5b. PRESUMPTIVE REGISTER -  PL'!C24 = '3.2 TAT ANALYSIS'!$Q$69,
'6b. LAB REGISTER - PL'!F21&lt;&gt;0,
'6b. LAB REGISTER - PL'!N21&lt;&gt;0),
'6b. LAB REGISTER - PL'!N21-'6b. LAB REGISTER - PL'!F21,"-")</f>
        <v>-</v>
      </c>
      <c r="R80" s="496" t="str">
        <f>IF(AND('5b. PRESUMPTIVE REGISTER -  PL'!C24 = '3.2 TAT ANALYSIS'!$R$69,
'6b. LAB REGISTER - PL'!F21&lt;&gt;0,
'6b. LAB REGISTER - PL'!N21&lt;&gt;0),
'6b. LAB REGISTER - PL'!N21-'6b. LAB REGISTER - PL'!F21,"-")</f>
        <v>-</v>
      </c>
      <c r="S80" s="496" t="str">
        <f>IF(AND('5b. PRESUMPTIVE REGISTER -  PL'!C24 = '3.2 TAT ANALYSIS'!$S$69,
'6b. LAB REGISTER - PL'!F21&lt;&gt;0,
'6b. LAB REGISTER - PL'!N21&lt;&gt;0),
'6b. LAB REGISTER - PL'!N21-'6b. LAB REGISTER - PL'!F21,"-")</f>
        <v>-</v>
      </c>
      <c r="T80" s="502" t="str">
        <f>IF(AND('6b. LAB REGISTER - PL'!F21&lt;&gt;0,
'6b. LAB REGISTER - PL'!N21&lt;&gt;0),
'6b. LAB REGISTER - PL'!N21-'6b. LAB REGISTER - PL'!F21,"-")</f>
        <v>-</v>
      </c>
    </row>
    <row r="81" spans="2:20" customFormat="1" ht="27" customHeight="1" x14ac:dyDescent="0.3">
      <c r="B81" s="111"/>
      <c r="C81" s="112"/>
      <c r="D81" s="112"/>
      <c r="E81" s="112"/>
      <c r="F81" s="112"/>
      <c r="G81" s="112"/>
      <c r="H81" s="112"/>
      <c r="I81" s="112"/>
      <c r="J81" s="112"/>
      <c r="K81" s="112"/>
      <c r="L81" s="112"/>
      <c r="M81" s="112"/>
      <c r="N81" s="420" t="s">
        <v>39</v>
      </c>
      <c r="O81" s="496" t="str">
        <f>IF(AND('5b. PRESUMPTIVE REGISTER -  PL'!C25 = '3.2 TAT ANALYSIS'!$O$69,
'6b. LAB REGISTER - PL'!F22&lt;&gt;0,
'6b. LAB REGISTER - PL'!N22&lt;&gt;0),
'6b. LAB REGISTER - PL'!N22-'6b. LAB REGISTER - PL'!F22,"-")</f>
        <v>-</v>
      </c>
      <c r="P81" s="496" t="str">
        <f>IF(AND('5b. PRESUMPTIVE REGISTER -  PL'!C25 = '3.2 TAT ANALYSIS'!$P$69,
'6b. LAB REGISTER - PL'!F22&lt;&gt;0,
'6b. LAB REGISTER - PL'!N22&lt;&gt;0),
'6b. LAB REGISTER - PL'!N22-'6b. LAB REGISTER - PL'!F22,"-")</f>
        <v>-</v>
      </c>
      <c r="Q81" s="496" t="str">
        <f>IF(AND('5b. PRESUMPTIVE REGISTER -  PL'!C25 = '3.2 TAT ANALYSIS'!$Q$69,
'6b. LAB REGISTER - PL'!F22&lt;&gt;0,
'6b. LAB REGISTER - PL'!N22&lt;&gt;0),
'6b. LAB REGISTER - PL'!N22-'6b. LAB REGISTER - PL'!F22,"-")</f>
        <v>-</v>
      </c>
      <c r="R81" s="496" t="str">
        <f>IF(AND('5b. PRESUMPTIVE REGISTER -  PL'!C25 = '3.2 TAT ANALYSIS'!$R$69,
'6b. LAB REGISTER - PL'!F22&lt;&gt;0,
'6b. LAB REGISTER - PL'!N22&lt;&gt;0),
'6b. LAB REGISTER - PL'!N22-'6b. LAB REGISTER - PL'!F22,"-")</f>
        <v>-</v>
      </c>
      <c r="S81" s="496" t="str">
        <f>IF(AND('5b. PRESUMPTIVE REGISTER -  PL'!C25 = '3.2 TAT ANALYSIS'!$S$69,
'6b. LAB REGISTER - PL'!F22&lt;&gt;0,
'6b. LAB REGISTER - PL'!N22&lt;&gt;0),
'6b. LAB REGISTER - PL'!N22-'6b. LAB REGISTER - PL'!F22,"-")</f>
        <v>-</v>
      </c>
      <c r="T81" s="502" t="str">
        <f>IF(AND('6b. LAB REGISTER - PL'!F22&lt;&gt;0,
'6b. LAB REGISTER - PL'!N22&lt;&gt;0),
'6b. LAB REGISTER - PL'!N22-'6b. LAB REGISTER - PL'!F22,"-")</f>
        <v>-</v>
      </c>
    </row>
    <row r="82" spans="2:20" customFormat="1" ht="27" customHeight="1" x14ac:dyDescent="0.3">
      <c r="B82" s="111"/>
      <c r="C82" s="112"/>
      <c r="D82" s="112"/>
      <c r="E82" s="112"/>
      <c r="F82" s="112"/>
      <c r="G82" s="112"/>
      <c r="H82" s="112"/>
      <c r="I82" s="112"/>
      <c r="J82" s="112"/>
      <c r="K82" s="112"/>
      <c r="L82" s="112"/>
      <c r="M82" s="112"/>
      <c r="N82" s="420" t="s">
        <v>40</v>
      </c>
      <c r="O82" s="496" t="str">
        <f>IF(AND('5b. PRESUMPTIVE REGISTER -  PL'!C26 = '3.2 TAT ANALYSIS'!$O$69,
'6b. LAB REGISTER - PL'!F23&lt;&gt;0,
'6b. LAB REGISTER - PL'!N23&lt;&gt;0),
'6b. LAB REGISTER - PL'!N23-'6b. LAB REGISTER - PL'!F23,"-")</f>
        <v>-</v>
      </c>
      <c r="P82" s="496" t="str">
        <f>IF(AND('5b. PRESUMPTIVE REGISTER -  PL'!C26 = '3.2 TAT ANALYSIS'!$P$69,
'6b. LAB REGISTER - PL'!F23&lt;&gt;0,
'6b. LAB REGISTER - PL'!N23&lt;&gt;0),
'6b. LAB REGISTER - PL'!N23-'6b. LAB REGISTER - PL'!F23,"-")</f>
        <v>-</v>
      </c>
      <c r="Q82" s="496" t="str">
        <f>IF(AND('5b. PRESUMPTIVE REGISTER -  PL'!C26 = '3.2 TAT ANALYSIS'!$Q$69,
'6b. LAB REGISTER - PL'!F23&lt;&gt;0,
'6b. LAB REGISTER - PL'!N23&lt;&gt;0),
'6b. LAB REGISTER - PL'!N23-'6b. LAB REGISTER - PL'!F23,"-")</f>
        <v>-</v>
      </c>
      <c r="R82" s="496" t="str">
        <f>IF(AND('5b. PRESUMPTIVE REGISTER -  PL'!C26 = '3.2 TAT ANALYSIS'!$R$69,
'6b. LAB REGISTER - PL'!F23&lt;&gt;0,
'6b. LAB REGISTER - PL'!N23&lt;&gt;0),
'6b. LAB REGISTER - PL'!N23-'6b. LAB REGISTER - PL'!F23,"-")</f>
        <v>-</v>
      </c>
      <c r="S82" s="496" t="str">
        <f>IF(AND('5b. PRESUMPTIVE REGISTER -  PL'!C26 = '3.2 TAT ANALYSIS'!$S$69,
'6b. LAB REGISTER - PL'!F23&lt;&gt;0,
'6b. LAB REGISTER - PL'!N23&lt;&gt;0),
'6b. LAB REGISTER - PL'!N23-'6b. LAB REGISTER - PL'!F23,"-")</f>
        <v>-</v>
      </c>
      <c r="T82" s="502" t="str">
        <f>IF(AND('6b. LAB REGISTER - PL'!F23&lt;&gt;0,
'6b. LAB REGISTER - PL'!N23&lt;&gt;0),
'6b. LAB REGISTER - PL'!N23-'6b. LAB REGISTER - PL'!F23,"-")</f>
        <v>-</v>
      </c>
    </row>
    <row r="83" spans="2:20" customFormat="1" ht="27" customHeight="1" x14ac:dyDescent="0.3">
      <c r="B83" s="111"/>
      <c r="C83" s="112"/>
      <c r="D83" s="112"/>
      <c r="E83" s="112"/>
      <c r="F83" s="112"/>
      <c r="G83" s="112"/>
      <c r="H83" s="112"/>
      <c r="I83" s="112"/>
      <c r="J83" s="112"/>
      <c r="K83" s="112"/>
      <c r="L83" s="112"/>
      <c r="M83" s="112"/>
      <c r="N83" s="420" t="s">
        <v>41</v>
      </c>
      <c r="O83" s="496" t="str">
        <f>IF(AND('5b. PRESUMPTIVE REGISTER -  PL'!C27 = '3.2 TAT ANALYSIS'!$O$69,
'6b. LAB REGISTER - PL'!F24&lt;&gt;0,
'6b. LAB REGISTER - PL'!N24&lt;&gt;0),
'6b. LAB REGISTER - PL'!N24-'6b. LAB REGISTER - PL'!F24,"-")</f>
        <v>-</v>
      </c>
      <c r="P83" s="496" t="str">
        <f>IF(AND('5b. PRESUMPTIVE REGISTER -  PL'!C27 = '3.2 TAT ANALYSIS'!$P$69,
'6b. LAB REGISTER - PL'!F24&lt;&gt;0,
'6b. LAB REGISTER - PL'!N24&lt;&gt;0),
'6b. LAB REGISTER - PL'!N24-'6b. LAB REGISTER - PL'!F24,"-")</f>
        <v>-</v>
      </c>
      <c r="Q83" s="496" t="str">
        <f>IF(AND('5b. PRESUMPTIVE REGISTER -  PL'!C27 = '3.2 TAT ANALYSIS'!$Q$69,
'6b. LAB REGISTER - PL'!F24&lt;&gt;0,
'6b. LAB REGISTER - PL'!N24&lt;&gt;0),
'6b. LAB REGISTER - PL'!N24-'6b. LAB REGISTER - PL'!F24,"-")</f>
        <v>-</v>
      </c>
      <c r="R83" s="496" t="str">
        <f>IF(AND('5b. PRESUMPTIVE REGISTER -  PL'!C27 = '3.2 TAT ANALYSIS'!$R$69,
'6b. LAB REGISTER - PL'!F24&lt;&gt;0,
'6b. LAB REGISTER - PL'!N24&lt;&gt;0),
'6b. LAB REGISTER - PL'!N24-'6b. LAB REGISTER - PL'!F24,"-")</f>
        <v>-</v>
      </c>
      <c r="S83" s="496" t="str">
        <f>IF(AND('5b. PRESUMPTIVE REGISTER -  PL'!C27 = '3.2 TAT ANALYSIS'!$S$69,
'6b. LAB REGISTER - PL'!F24&lt;&gt;0,
'6b. LAB REGISTER - PL'!N24&lt;&gt;0),
'6b. LAB REGISTER - PL'!N24-'6b. LAB REGISTER - PL'!F24,"-")</f>
        <v>-</v>
      </c>
      <c r="T83" s="502" t="str">
        <f>IF(AND('6b. LAB REGISTER - PL'!F24&lt;&gt;0,
'6b. LAB REGISTER - PL'!N24&lt;&gt;0),
'6b. LAB REGISTER - PL'!N24-'6b. LAB REGISTER - PL'!F24,"-")</f>
        <v>-</v>
      </c>
    </row>
    <row r="84" spans="2:20" customFormat="1" ht="27" customHeight="1" x14ac:dyDescent="0.3">
      <c r="B84" s="111"/>
      <c r="C84" s="112"/>
      <c r="D84" s="112"/>
      <c r="E84" s="112"/>
      <c r="F84" s="112"/>
      <c r="G84" s="112"/>
      <c r="H84" s="112"/>
      <c r="I84" s="112"/>
      <c r="J84" s="112"/>
      <c r="K84" s="112"/>
      <c r="L84" s="112"/>
      <c r="M84" s="112"/>
      <c r="N84" s="497" t="s">
        <v>42</v>
      </c>
      <c r="O84" s="496" t="str">
        <f>IF(AND('5b. PRESUMPTIVE REGISTER -  PL'!C28 = '3.2 TAT ANALYSIS'!$O$69,
'6b. LAB REGISTER - PL'!F25&lt;&gt;0,
'6b. LAB REGISTER - PL'!N25&lt;&gt;0),
'6b. LAB REGISTER - PL'!N25-'6b. LAB REGISTER - PL'!F25,"-")</f>
        <v>-</v>
      </c>
      <c r="P84" s="496" t="str">
        <f>IF(AND('5b. PRESUMPTIVE REGISTER -  PL'!C28 = '3.2 TAT ANALYSIS'!$P$69,
'6b. LAB REGISTER - PL'!F25&lt;&gt;0,
'6b. LAB REGISTER - PL'!N25&lt;&gt;0),
'6b. LAB REGISTER - PL'!N25-'6b. LAB REGISTER - PL'!F25,"-")</f>
        <v>-</v>
      </c>
      <c r="Q84" s="496" t="str">
        <f>IF(AND('5b. PRESUMPTIVE REGISTER -  PL'!C28 = '3.2 TAT ANALYSIS'!$Q$69,
'6b. LAB REGISTER - PL'!F25&lt;&gt;0,
'6b. LAB REGISTER - PL'!N25&lt;&gt;0),
'6b. LAB REGISTER - PL'!N25-'6b. LAB REGISTER - PL'!F25,"-")</f>
        <v>-</v>
      </c>
      <c r="R84" s="496" t="str">
        <f>IF(AND('5b. PRESUMPTIVE REGISTER -  PL'!C28 = '3.2 TAT ANALYSIS'!$R$69,
'6b. LAB REGISTER - PL'!F25&lt;&gt;0,
'6b. LAB REGISTER - PL'!N25&lt;&gt;0),
'6b. LAB REGISTER - PL'!N25-'6b. LAB REGISTER - PL'!F25,"-")</f>
        <v>-</v>
      </c>
      <c r="S84" s="496" t="str">
        <f>IF(AND('5b. PRESUMPTIVE REGISTER -  PL'!C28 = '3.2 TAT ANALYSIS'!$S$69,
'6b. LAB REGISTER - PL'!F25&lt;&gt;0,
'6b. LAB REGISTER - PL'!N25&lt;&gt;0),
'6b. LAB REGISTER - PL'!N25-'6b. LAB REGISTER - PL'!F25,"-")</f>
        <v>-</v>
      </c>
      <c r="T84" s="502" t="str">
        <f>IF(AND('6b. LAB REGISTER - PL'!F25&lt;&gt;0,
'6b. LAB REGISTER - PL'!N25&lt;&gt;0),
'6b. LAB REGISTER - PL'!N25-'6b. LAB REGISTER - PL'!F25,"-")</f>
        <v>-</v>
      </c>
    </row>
    <row r="85" spans="2:20" customFormat="1" ht="27" customHeight="1" x14ac:dyDescent="0.3">
      <c r="B85" s="111"/>
      <c r="C85" s="112"/>
      <c r="D85" s="112"/>
      <c r="E85" s="112"/>
      <c r="F85" s="112"/>
      <c r="G85" s="112"/>
      <c r="H85" s="112"/>
      <c r="I85" s="112"/>
      <c r="J85" s="112"/>
      <c r="K85" s="112"/>
      <c r="L85" s="112"/>
      <c r="M85" s="112"/>
      <c r="N85" s="497" t="s">
        <v>43</v>
      </c>
      <c r="O85" s="496" t="str">
        <f>IF(AND('5b. PRESUMPTIVE REGISTER -  PL'!C29 = '3.2 TAT ANALYSIS'!$O$69,
'6b. LAB REGISTER - PL'!F26&lt;&gt;0,
'6b. LAB REGISTER - PL'!N26&lt;&gt;0),
'6b. LAB REGISTER - PL'!N26-'6b. LAB REGISTER - PL'!F26,"-")</f>
        <v>-</v>
      </c>
      <c r="P85" s="496" t="str">
        <f>IF(AND('5b. PRESUMPTIVE REGISTER -  PL'!C29 = '3.2 TAT ANALYSIS'!$P$69,
'6b. LAB REGISTER - PL'!F26&lt;&gt;0,
'6b. LAB REGISTER - PL'!N26&lt;&gt;0),
'6b. LAB REGISTER - PL'!N26-'6b. LAB REGISTER - PL'!F26,"-")</f>
        <v>-</v>
      </c>
      <c r="Q85" s="496" t="str">
        <f>IF(AND('5b. PRESUMPTIVE REGISTER -  PL'!C29 = '3.2 TAT ANALYSIS'!$Q$69,
'6b. LAB REGISTER - PL'!F26&lt;&gt;0,
'6b. LAB REGISTER - PL'!N26&lt;&gt;0),
'6b. LAB REGISTER - PL'!N26-'6b. LAB REGISTER - PL'!F26,"-")</f>
        <v>-</v>
      </c>
      <c r="R85" s="496" t="str">
        <f>IF(AND('5b. PRESUMPTIVE REGISTER -  PL'!C29 = '3.2 TAT ANALYSIS'!$R$69,
'6b. LAB REGISTER - PL'!F26&lt;&gt;0,
'6b. LAB REGISTER - PL'!N26&lt;&gt;0),
'6b. LAB REGISTER - PL'!N26-'6b. LAB REGISTER - PL'!F26,"-")</f>
        <v>-</v>
      </c>
      <c r="S85" s="496" t="str">
        <f>IF(AND('5b. PRESUMPTIVE REGISTER -  PL'!C29 = '3.2 TAT ANALYSIS'!$S$69,
'6b. LAB REGISTER - PL'!F26&lt;&gt;0,
'6b. LAB REGISTER - PL'!N26&lt;&gt;0),
'6b. LAB REGISTER - PL'!N26-'6b. LAB REGISTER - PL'!F26,"-")</f>
        <v>-</v>
      </c>
      <c r="T85" s="502" t="str">
        <f>IF(AND('6b. LAB REGISTER - PL'!F26&lt;&gt;0,
'6b. LAB REGISTER - PL'!N26&lt;&gt;0),
'6b. LAB REGISTER - PL'!N26-'6b. LAB REGISTER - PL'!F26,"-")</f>
        <v>-</v>
      </c>
    </row>
    <row r="86" spans="2:20" customFormat="1" ht="27" customHeight="1" x14ac:dyDescent="0.3">
      <c r="B86" s="111"/>
      <c r="C86" s="112"/>
      <c r="D86" s="112"/>
      <c r="E86" s="112"/>
      <c r="F86" s="112"/>
      <c r="G86" s="112"/>
      <c r="H86" s="112"/>
      <c r="I86" s="112"/>
      <c r="J86" s="112"/>
      <c r="K86" s="112"/>
      <c r="L86" s="112"/>
      <c r="M86" s="112"/>
      <c r="N86" s="497" t="s">
        <v>44</v>
      </c>
      <c r="O86" s="496" t="str">
        <f>IF(AND('5b. PRESUMPTIVE REGISTER -  PL'!C30 = '3.2 TAT ANALYSIS'!$O$69,
'6b. LAB REGISTER - PL'!F27&lt;&gt;0,
'6b. LAB REGISTER - PL'!N27&lt;&gt;0),
'6b. LAB REGISTER - PL'!N27-'6b. LAB REGISTER - PL'!F27,"-")</f>
        <v>-</v>
      </c>
      <c r="P86" s="496" t="str">
        <f>IF(AND('5b. PRESUMPTIVE REGISTER -  PL'!C30 = '3.2 TAT ANALYSIS'!$P$69,
'6b. LAB REGISTER - PL'!F27&lt;&gt;0,
'6b. LAB REGISTER - PL'!N27&lt;&gt;0),
'6b. LAB REGISTER - PL'!N27-'6b. LAB REGISTER - PL'!F27,"-")</f>
        <v>-</v>
      </c>
      <c r="Q86" s="496" t="str">
        <f>IF(AND('5b. PRESUMPTIVE REGISTER -  PL'!C30 = '3.2 TAT ANALYSIS'!$Q$69,
'6b. LAB REGISTER - PL'!F27&lt;&gt;0,
'6b. LAB REGISTER - PL'!N27&lt;&gt;0),
'6b. LAB REGISTER - PL'!N27-'6b. LAB REGISTER - PL'!F27,"-")</f>
        <v>-</v>
      </c>
      <c r="R86" s="496" t="str">
        <f>IF(AND('5b. PRESUMPTIVE REGISTER -  PL'!C30 = '3.2 TAT ANALYSIS'!$R$69,
'6b. LAB REGISTER - PL'!F27&lt;&gt;0,
'6b. LAB REGISTER - PL'!N27&lt;&gt;0),
'6b. LAB REGISTER - PL'!N27-'6b. LAB REGISTER - PL'!F27,"-")</f>
        <v>-</v>
      </c>
      <c r="S86" s="496" t="str">
        <f>IF(AND('5b. PRESUMPTIVE REGISTER -  PL'!C30 = '3.2 TAT ANALYSIS'!$S$69,
'6b. LAB REGISTER - PL'!F27&lt;&gt;0,
'6b. LAB REGISTER - PL'!N27&lt;&gt;0),
'6b. LAB REGISTER - PL'!N27-'6b. LAB REGISTER - PL'!F27,"-")</f>
        <v>-</v>
      </c>
      <c r="T86" s="502" t="str">
        <f>IF(AND('6b. LAB REGISTER - PL'!F27&lt;&gt;0,
'6b. LAB REGISTER - PL'!N27&lt;&gt;0),
'6b. LAB REGISTER - PL'!N27-'6b. LAB REGISTER - PL'!F27,"-")</f>
        <v>-</v>
      </c>
    </row>
    <row r="87" spans="2:20" customFormat="1" ht="27" customHeight="1" x14ac:dyDescent="0.3">
      <c r="B87" s="111"/>
      <c r="C87" s="112"/>
      <c r="D87" s="112"/>
      <c r="E87" s="112"/>
      <c r="F87" s="112"/>
      <c r="G87" s="112"/>
      <c r="H87" s="112"/>
      <c r="I87" s="112"/>
      <c r="J87" s="112"/>
      <c r="K87" s="112"/>
      <c r="L87" s="112"/>
      <c r="M87" s="112"/>
      <c r="N87" s="497" t="s">
        <v>45</v>
      </c>
      <c r="O87" s="496" t="str">
        <f>IF(AND('5b. PRESUMPTIVE REGISTER -  PL'!C31 = '3.2 TAT ANALYSIS'!$O$69,
'6b. LAB REGISTER - PL'!F28&lt;&gt;0,
'6b. LAB REGISTER - PL'!N28&lt;&gt;0),
'6b. LAB REGISTER - PL'!N28-'6b. LAB REGISTER - PL'!F28,"-")</f>
        <v>-</v>
      </c>
      <c r="P87" s="496" t="str">
        <f>IF(AND('5b. PRESUMPTIVE REGISTER -  PL'!C31 = '3.2 TAT ANALYSIS'!$P$69,
'6b. LAB REGISTER - PL'!F28&lt;&gt;0,
'6b. LAB REGISTER - PL'!N28&lt;&gt;0),
'6b. LAB REGISTER - PL'!N28-'6b. LAB REGISTER - PL'!F28,"-")</f>
        <v>-</v>
      </c>
      <c r="Q87" s="496" t="str">
        <f>IF(AND('5b. PRESUMPTIVE REGISTER -  PL'!C31 = '3.2 TAT ANALYSIS'!$Q$69,
'6b. LAB REGISTER - PL'!F28&lt;&gt;0,
'6b. LAB REGISTER - PL'!N28&lt;&gt;0),
'6b. LAB REGISTER - PL'!N28-'6b. LAB REGISTER - PL'!F28,"-")</f>
        <v>-</v>
      </c>
      <c r="R87" s="496" t="str">
        <f>IF(AND('5b. PRESUMPTIVE REGISTER -  PL'!C31 = '3.2 TAT ANALYSIS'!$R$69,
'6b. LAB REGISTER - PL'!F28&lt;&gt;0,
'6b. LAB REGISTER - PL'!N28&lt;&gt;0),
'6b. LAB REGISTER - PL'!N28-'6b. LAB REGISTER - PL'!F28,"-")</f>
        <v>-</v>
      </c>
      <c r="S87" s="496" t="str">
        <f>IF(AND('5b. PRESUMPTIVE REGISTER -  PL'!C31 = '3.2 TAT ANALYSIS'!$S$69,
'6b. LAB REGISTER - PL'!F28&lt;&gt;0,
'6b. LAB REGISTER - PL'!N28&lt;&gt;0),
'6b. LAB REGISTER - PL'!N28-'6b. LAB REGISTER - PL'!F28,"-")</f>
        <v>-</v>
      </c>
      <c r="T87" s="502" t="str">
        <f>IF(AND('6b. LAB REGISTER - PL'!F28&lt;&gt;0,
'6b. LAB REGISTER - PL'!N28&lt;&gt;0),
'6b. LAB REGISTER - PL'!N28-'6b. LAB REGISTER - PL'!F28,"-")</f>
        <v>-</v>
      </c>
    </row>
    <row r="88" spans="2:20" customFormat="1" ht="27" customHeight="1" x14ac:dyDescent="0.3">
      <c r="B88" s="111"/>
      <c r="C88" s="112"/>
      <c r="D88" s="112"/>
      <c r="E88" s="112"/>
      <c r="F88" s="112"/>
      <c r="G88" s="112"/>
      <c r="H88" s="112"/>
      <c r="I88" s="112"/>
      <c r="J88" s="112"/>
      <c r="K88" s="112"/>
      <c r="L88" s="112"/>
      <c r="M88" s="112"/>
      <c r="N88" s="497" t="s">
        <v>46</v>
      </c>
      <c r="O88" s="496" t="str">
        <f>IF(AND('5b. PRESUMPTIVE REGISTER -  PL'!C32 = '3.2 TAT ANALYSIS'!$O$69,
'6b. LAB REGISTER - PL'!F29&lt;&gt;0,
'6b. LAB REGISTER - PL'!N29&lt;&gt;0),
'6b. LAB REGISTER - PL'!N29-'6b. LAB REGISTER - PL'!F29,"-")</f>
        <v>-</v>
      </c>
      <c r="P88" s="496" t="str">
        <f>IF(AND('5b. PRESUMPTIVE REGISTER -  PL'!C32 = '3.2 TAT ANALYSIS'!$P$69,
'6b. LAB REGISTER - PL'!F29&lt;&gt;0,
'6b. LAB REGISTER - PL'!N29&lt;&gt;0),
'6b. LAB REGISTER - PL'!N29-'6b. LAB REGISTER - PL'!F29,"-")</f>
        <v>-</v>
      </c>
      <c r="Q88" s="496" t="str">
        <f>IF(AND('5b. PRESUMPTIVE REGISTER -  PL'!C32 = '3.2 TAT ANALYSIS'!$Q$69,
'6b. LAB REGISTER - PL'!F29&lt;&gt;0,
'6b. LAB REGISTER - PL'!N29&lt;&gt;0),
'6b. LAB REGISTER - PL'!N29-'6b. LAB REGISTER - PL'!F29,"-")</f>
        <v>-</v>
      </c>
      <c r="R88" s="496" t="str">
        <f>IF(AND('5b. PRESUMPTIVE REGISTER -  PL'!C32 = '3.2 TAT ANALYSIS'!$R$69,
'6b. LAB REGISTER - PL'!F29&lt;&gt;0,
'6b. LAB REGISTER - PL'!N29&lt;&gt;0),
'6b. LAB REGISTER - PL'!N29-'6b. LAB REGISTER - PL'!F29,"-")</f>
        <v>-</v>
      </c>
      <c r="S88" s="496" t="str">
        <f>IF(AND('5b. PRESUMPTIVE REGISTER -  PL'!C32 = '3.2 TAT ANALYSIS'!$S$69,
'6b. LAB REGISTER - PL'!F29&lt;&gt;0,
'6b. LAB REGISTER - PL'!N29&lt;&gt;0),
'6b. LAB REGISTER - PL'!N29-'6b. LAB REGISTER - PL'!F29,"-")</f>
        <v>-</v>
      </c>
      <c r="T88" s="502" t="str">
        <f>IF(AND('6b. LAB REGISTER - PL'!F29&lt;&gt;0,
'6b. LAB REGISTER - PL'!N29&lt;&gt;0),
'6b. LAB REGISTER - PL'!N29-'6b. LAB REGISTER - PL'!F29,"-")</f>
        <v>-</v>
      </c>
    </row>
    <row r="89" spans="2:20" customFormat="1" ht="27" customHeight="1" x14ac:dyDescent="0.3">
      <c r="B89" s="111"/>
      <c r="C89" s="112"/>
      <c r="D89" s="112"/>
      <c r="E89" s="112"/>
      <c r="F89" s="112"/>
      <c r="G89" s="112"/>
      <c r="H89" s="112"/>
      <c r="I89" s="112"/>
      <c r="J89" s="112"/>
      <c r="K89" s="112"/>
      <c r="L89" s="112"/>
      <c r="M89" s="112"/>
      <c r="N89" s="497" t="s">
        <v>47</v>
      </c>
      <c r="O89" s="496" t="str">
        <f>IF(AND('5b. PRESUMPTIVE REGISTER -  PL'!C33 = '3.2 TAT ANALYSIS'!$O$69,
'6b. LAB REGISTER - PL'!F30&lt;&gt;0,
'6b. LAB REGISTER - PL'!N30&lt;&gt;0),
'6b. LAB REGISTER - PL'!N30-'6b. LAB REGISTER - PL'!F30,"-")</f>
        <v>-</v>
      </c>
      <c r="P89" s="496" t="str">
        <f>IF(AND('5b. PRESUMPTIVE REGISTER -  PL'!C33 = '3.2 TAT ANALYSIS'!$P$69,
'6b. LAB REGISTER - PL'!F30&lt;&gt;0,
'6b. LAB REGISTER - PL'!N30&lt;&gt;0),
'6b. LAB REGISTER - PL'!N30-'6b. LAB REGISTER - PL'!F30,"-")</f>
        <v>-</v>
      </c>
      <c r="Q89" s="496" t="str">
        <f>IF(AND('5b. PRESUMPTIVE REGISTER -  PL'!C33 = '3.2 TAT ANALYSIS'!$Q$69,
'6b. LAB REGISTER - PL'!F30&lt;&gt;0,
'6b. LAB REGISTER - PL'!N30&lt;&gt;0),
'6b. LAB REGISTER - PL'!N30-'6b. LAB REGISTER - PL'!F30,"-")</f>
        <v>-</v>
      </c>
      <c r="R89" s="496" t="str">
        <f>IF(AND('5b. PRESUMPTIVE REGISTER -  PL'!C33 = '3.2 TAT ANALYSIS'!$R$69,
'6b. LAB REGISTER - PL'!F30&lt;&gt;0,
'6b. LAB REGISTER - PL'!N30&lt;&gt;0),
'6b. LAB REGISTER - PL'!N30-'6b. LAB REGISTER - PL'!F30,"-")</f>
        <v>-</v>
      </c>
      <c r="S89" s="496" t="str">
        <f>IF(AND('5b. PRESUMPTIVE REGISTER -  PL'!C33 = '3.2 TAT ANALYSIS'!$S$69,
'6b. LAB REGISTER - PL'!F30&lt;&gt;0,
'6b. LAB REGISTER - PL'!N30&lt;&gt;0),
'6b. LAB REGISTER - PL'!N30-'6b. LAB REGISTER - PL'!F30,"-")</f>
        <v>-</v>
      </c>
      <c r="T89" s="502" t="str">
        <f>IF(AND('6b. LAB REGISTER - PL'!F30&lt;&gt;0,
'6b. LAB REGISTER - PL'!N30&lt;&gt;0),
'6b. LAB REGISTER - PL'!N30-'6b. LAB REGISTER - PL'!F30,"-")</f>
        <v>-</v>
      </c>
    </row>
    <row r="90" spans="2:20" customFormat="1" ht="27" customHeight="1" thickBot="1" x14ac:dyDescent="0.35">
      <c r="B90" s="450"/>
      <c r="C90" s="451"/>
      <c r="D90" s="451"/>
      <c r="E90" s="451"/>
      <c r="F90" s="451"/>
      <c r="G90" s="451"/>
      <c r="H90" s="451"/>
      <c r="I90" s="451"/>
      <c r="J90" s="451"/>
      <c r="K90" s="451"/>
      <c r="L90" s="451"/>
      <c r="M90" s="451"/>
      <c r="N90" s="447" t="s">
        <v>92</v>
      </c>
      <c r="O90" s="443" t="str">
        <f>IF(ISNUMBER(AVERAGE('3.2 TAT ANALYSIS'!$O$70:$O$89)), SUMIF(O70:O89,"&gt;-1")/$O$91, "NA")</f>
        <v>NA</v>
      </c>
      <c r="P90" s="443" t="str">
        <f>IF(ISNUMBER(AVERAGE('3.2 TAT ANALYSIS'!$P$70:$P$89)), SUMIF(P70:P89,"&gt;-1")/$P$91, "NA")</f>
        <v>NA</v>
      </c>
      <c r="Q90" s="443" t="str">
        <f>IF(ISNUMBER(AVERAGE('3.2 TAT ANALYSIS'!$Q$70:$Q$89)), SUMIF(Q70:Q89,"&gt;-1")/$Q$91, "NA")</f>
        <v>NA</v>
      </c>
      <c r="R90" s="443" t="str">
        <f>IF(ISNUMBER(AVERAGE('3.2 TAT ANALYSIS'!$R$70:$R$89)), SUMIF(R70:R89,"&gt;-1")/$R$91, "NA")</f>
        <v>NA</v>
      </c>
      <c r="S90" s="443" t="str">
        <f>IF(ISNUMBER(AVERAGE('3.2 TAT ANALYSIS'!$S$70:$S$89)), SUMIF(S70:S89,"&gt;-1")/$S$91, "NA")</f>
        <v>NA</v>
      </c>
      <c r="T90" s="494" t="str">
        <f>IF(ISNUMBER(AVERAGE('3.2 TAT ANALYSIS'!$T$70:$T$89)), SUMIF(T70:T89,"&gt;-1")/$T$91, "NA")</f>
        <v>NA</v>
      </c>
    </row>
    <row r="91" spans="2:20" customFormat="1" ht="21.6" hidden="1" customHeight="1" x14ac:dyDescent="0.3">
      <c r="N91" s="490" t="s">
        <v>330</v>
      </c>
      <c r="O91" s="488">
        <f>COUNTIF($O$70:$O$89, "&lt;&gt;-")</f>
        <v>0</v>
      </c>
      <c r="P91" s="488">
        <f>COUNTIF($P$70:$P$89, "&lt;&gt;-")</f>
        <v>0</v>
      </c>
      <c r="Q91" s="488">
        <f>COUNTIF($Q$70:$Q$89, "&lt;&gt;-")</f>
        <v>0</v>
      </c>
      <c r="R91" s="488">
        <f>COUNTIF($R$70:$R$89, "&lt;&gt;-")</f>
        <v>0</v>
      </c>
      <c r="S91" s="488">
        <f>COUNTIF($S$70:$S$89, "&lt;&gt;-")</f>
        <v>0</v>
      </c>
      <c r="T91" s="488">
        <f>COUNTIF($T$70:$T$89, "&lt;&gt;-")</f>
        <v>0</v>
      </c>
    </row>
    <row r="92" spans="2:20" customFormat="1" ht="21.6" hidden="1" customHeight="1" x14ac:dyDescent="0.3">
      <c r="N92" s="454" t="s">
        <v>312</v>
      </c>
      <c r="O92" s="457">
        <f>MIN('3.2 TAT ANALYSIS'!$O$70:$O$89)</f>
        <v>0</v>
      </c>
      <c r="P92" s="457">
        <f>MIN('3.2 TAT ANALYSIS'!$P$70:$P$89)</f>
        <v>0</v>
      </c>
      <c r="Q92" s="457">
        <f>MIN('3.2 TAT ANALYSIS'!$Q$70:$Q$89)</f>
        <v>0</v>
      </c>
      <c r="R92" s="457">
        <f>MIN('3.2 TAT ANALYSIS'!$R$70:$R$89)</f>
        <v>0</v>
      </c>
      <c r="S92" s="457">
        <f>MIN('3.2 TAT ANALYSIS'!$S$70:$S$89)</f>
        <v>0</v>
      </c>
      <c r="T92" s="457">
        <f>MIN('3.2 TAT ANALYSIS'!$T$70:$T$89)</f>
        <v>0</v>
      </c>
    </row>
    <row r="93" spans="2:20" customFormat="1" ht="21.6" hidden="1" customHeight="1" x14ac:dyDescent="0.3">
      <c r="N93" s="37" t="s">
        <v>313</v>
      </c>
      <c r="O93" s="457" t="e">
        <f>AVERAGE('3.2 TAT ANALYSIS'!$O$70:$O$89)</f>
        <v>#DIV/0!</v>
      </c>
      <c r="P93" s="457" t="e">
        <f>AVERAGE('3.2 TAT ANALYSIS'!$P$70:$P$89)</f>
        <v>#DIV/0!</v>
      </c>
      <c r="Q93" s="457" t="e">
        <f>AVERAGE('3.2 TAT ANALYSIS'!$Q$70:$Q$89)</f>
        <v>#DIV/0!</v>
      </c>
      <c r="R93" s="457" t="e">
        <f>AVERAGE('3.2 TAT ANALYSIS'!$R$70:$R$89)</f>
        <v>#DIV/0!</v>
      </c>
      <c r="S93" s="457" t="e">
        <f>AVERAGE('3.2 TAT ANALYSIS'!$S$70:$S$89)</f>
        <v>#DIV/0!</v>
      </c>
      <c r="T93" s="457" t="e">
        <f>AVERAGE('3.2 TAT ANALYSIS'!$T$70:$T$89)</f>
        <v>#DIV/0!</v>
      </c>
    </row>
    <row r="94" spans="2:20" customFormat="1" ht="21.6" hidden="1" customHeight="1" x14ac:dyDescent="0.3">
      <c r="N94" s="37" t="s">
        <v>314</v>
      </c>
      <c r="O94" s="457">
        <f>MAX('3.2 TAT ANALYSIS'!$O$70:$O$89)</f>
        <v>0</v>
      </c>
      <c r="P94" s="457">
        <f>MAX('3.2 TAT ANALYSIS'!$P$70:$P$89)</f>
        <v>0</v>
      </c>
      <c r="Q94" s="457">
        <f>MAX('3.2 TAT ANALYSIS'!$Q$70:$Q$89)</f>
        <v>0</v>
      </c>
      <c r="R94" s="457">
        <f>MAX('3.2 TAT ANALYSIS'!$R$70:$R$89)</f>
        <v>0</v>
      </c>
      <c r="S94" s="457">
        <f>MAX('3.2 TAT ANALYSIS'!$S$70:$S$89)</f>
        <v>0</v>
      </c>
      <c r="T94" s="457">
        <f>MAX('3.2 TAT ANALYSIS'!$T$70:$T$89)</f>
        <v>0</v>
      </c>
    </row>
    <row r="95" spans="2:20" customFormat="1" ht="21.6" hidden="1" customHeight="1" x14ac:dyDescent="0.3">
      <c r="N95" s="37" t="s">
        <v>317</v>
      </c>
      <c r="O95" s="457">
        <f>IF(O90&lt;&gt;"NA", 3, VALUE("-1"))</f>
        <v>-1</v>
      </c>
      <c r="P95" s="457">
        <f>IF(P90&lt;&gt;"NA", 2.5, VALUE("-1"))</f>
        <v>-1</v>
      </c>
      <c r="Q95" s="457">
        <f>IF(Q90&lt;&gt;"NA", 2, VALUE("-1"))</f>
        <v>-1</v>
      </c>
      <c r="R95" s="457">
        <f>IF(R90&lt;&gt;"NA", 1.5, VALUE("-1"))</f>
        <v>-1</v>
      </c>
      <c r="S95" s="457">
        <f>IF(S90&lt;&gt;"NA", 1, VALUE("-1"))</f>
        <v>-1</v>
      </c>
      <c r="T95" s="457">
        <v>0.5</v>
      </c>
    </row>
    <row r="96" spans="2:20" customFormat="1" ht="21.6" hidden="1" customHeight="1" x14ac:dyDescent="0.3">
      <c r="N96" s="37" t="s">
        <v>318</v>
      </c>
      <c r="O96" s="457">
        <f>IF(O90&lt;&gt;"NA", 3, VALUE("-1"))</f>
        <v>-1</v>
      </c>
      <c r="P96" s="457">
        <f>IF(P90&lt;&gt;"NA", 2.5, VALUE("-1"))</f>
        <v>-1</v>
      </c>
      <c r="Q96" s="457">
        <f>IF(Q90&lt;&gt;"NA", 2, VALUE("-1"))</f>
        <v>-1</v>
      </c>
      <c r="R96" s="457">
        <f>IF(R90&lt;&gt;"NA", 1.5, VALUE("-1"))</f>
        <v>-1</v>
      </c>
      <c r="S96" s="457">
        <f>IF(S90&lt;&gt;"NA", 1, VALUE("-1"))</f>
        <v>-1</v>
      </c>
      <c r="T96" s="457">
        <v>0.5</v>
      </c>
    </row>
    <row r="97" spans="2:20" customFormat="1" ht="21.6" hidden="1" customHeight="1" x14ac:dyDescent="0.3">
      <c r="N97" s="37" t="s">
        <v>319</v>
      </c>
      <c r="O97" s="457">
        <f>IF(O90&lt;&gt;"NA", 3, VALUE("-1"))</f>
        <v>-1</v>
      </c>
      <c r="P97" s="457">
        <f>IF(P90&lt;&gt;"NA", 2.5, VALUE("-1"))</f>
        <v>-1</v>
      </c>
      <c r="Q97" s="457">
        <f>IF(Q90&lt;&gt;"NA", 2, VALUE("-1"))</f>
        <v>-1</v>
      </c>
      <c r="R97" s="457">
        <f>IF(R90&lt;&gt;"NA", 1.5, VALUE("-1"))</f>
        <v>-1</v>
      </c>
      <c r="S97" s="457">
        <f>IF(S90&lt;&gt;"NA", 1, VALUE("-1"))</f>
        <v>-1</v>
      </c>
      <c r="T97" s="457">
        <v>0.5</v>
      </c>
    </row>
    <row r="98" spans="2:20" customFormat="1" ht="21.6" customHeight="1" thickBot="1" x14ac:dyDescent="0.35">
      <c r="N98" s="112"/>
      <c r="O98" s="412"/>
      <c r="P98" s="412"/>
      <c r="Q98" s="412"/>
      <c r="R98" s="412"/>
    </row>
    <row r="99" spans="2:20" customFormat="1" ht="40.799999999999997" customHeight="1" x14ac:dyDescent="0.3">
      <c r="B99" s="688" t="s">
        <v>309</v>
      </c>
      <c r="C99" s="689"/>
      <c r="D99" s="689"/>
      <c r="E99" s="689"/>
      <c r="F99" s="689"/>
      <c r="G99" s="689"/>
      <c r="H99" s="689"/>
      <c r="I99" s="689"/>
      <c r="J99" s="689"/>
      <c r="K99" s="689"/>
      <c r="L99" s="689"/>
      <c r="M99" s="689"/>
      <c r="N99" s="689"/>
      <c r="O99" s="689"/>
      <c r="P99" s="689"/>
      <c r="Q99" s="689"/>
      <c r="R99" s="689"/>
      <c r="S99" s="689"/>
      <c r="T99" s="690"/>
    </row>
    <row r="100" spans="2:20" customFormat="1" ht="27" customHeight="1" x14ac:dyDescent="0.3">
      <c r="B100" s="111"/>
      <c r="C100" s="112"/>
      <c r="D100" s="112"/>
      <c r="E100" s="112"/>
      <c r="F100" s="112"/>
      <c r="G100" s="112"/>
      <c r="H100" s="112"/>
      <c r="I100" s="112"/>
      <c r="J100" s="112"/>
      <c r="K100" s="112"/>
      <c r="L100" s="112"/>
      <c r="M100" s="112"/>
      <c r="N100" s="283" t="s">
        <v>190</v>
      </c>
      <c r="O100" s="283" t="str">
        <f>IF('1. ASSESSMENT PROFILE'!D38&lt;&gt;"", '1. ASSESSMENT PROFILE'!D38,"")</f>
        <v/>
      </c>
      <c r="P100" s="283" t="str">
        <f>IF('1. ASSESSMENT PROFILE'!D39&lt;&gt;"", '1. ASSESSMENT PROFILE'!D39,"")</f>
        <v/>
      </c>
      <c r="Q100" s="283" t="str">
        <f>IF('1. ASSESSMENT PROFILE'!D40&lt;&gt;"", '1. ASSESSMENT PROFILE'!D40,"")</f>
        <v/>
      </c>
      <c r="R100" s="283" t="str">
        <f>IF('1. ASSESSMENT PROFILE'!D41&lt;&gt;"", '1. ASSESSMENT PROFILE'!D41,"")</f>
        <v/>
      </c>
      <c r="S100" s="283" t="str">
        <f>IF('1. ASSESSMENT PROFILE'!D42&lt;&gt;"", '1. ASSESSMENT PROFILE'!D42,"")</f>
        <v/>
      </c>
      <c r="T100" s="435" t="s">
        <v>306</v>
      </c>
    </row>
    <row r="101" spans="2:20" customFormat="1" ht="27" customHeight="1" x14ac:dyDescent="0.3">
      <c r="B101" s="111"/>
      <c r="C101" s="112"/>
      <c r="D101" s="112"/>
      <c r="E101" s="112"/>
      <c r="F101" s="112"/>
      <c r="G101" s="112"/>
      <c r="H101" s="112"/>
      <c r="I101" s="112"/>
      <c r="J101" s="112"/>
      <c r="K101" s="112"/>
      <c r="L101" s="112"/>
      <c r="M101" s="112"/>
      <c r="N101" s="419" t="s">
        <v>9</v>
      </c>
      <c r="O101" s="449" t="str">
        <f>IF(AND('5b. PRESUMPTIVE REGISTER -  PL'!C14 ='3.2 TAT ANALYSIS'!$O$100,
'5b. PRESUMPTIVE REGISTER -  PL'!I14&lt;&gt;0,
'5b. PRESUMPTIVE REGISTER -  PL'!G14&lt;&gt;0),
'5b. PRESUMPTIVE REGISTER -  PL'!I14-'5b. PRESUMPTIVE REGISTER -  PL'!G14, "-")</f>
        <v>-</v>
      </c>
      <c r="P101" s="430" t="str">
        <f>IF(AND('5b. PRESUMPTIVE REGISTER -  PL'!C14 = '3.2 TAT ANALYSIS'!$P$100,
'5b. PRESUMPTIVE REGISTER -  PL'!I14&lt;&gt;0,
'5b. PRESUMPTIVE REGISTER -  PL'!G14&lt;&gt;0),
'5b. PRESUMPTIVE REGISTER -  PL'!I14-'5b. PRESUMPTIVE REGISTER -  PL'!G14, "-")</f>
        <v>-</v>
      </c>
      <c r="Q101" s="430" t="str">
        <f>IF(AND('5b. PRESUMPTIVE REGISTER -  PL'!C14 = '3.2 TAT ANALYSIS'!$Q$100,
'5b. PRESUMPTIVE REGISTER -  PL'!I14&lt;&gt;0,
'5b. PRESUMPTIVE REGISTER -  PL'!G14&lt;&gt;0),
'5b. PRESUMPTIVE REGISTER -  PL'!I14-'5b. PRESUMPTIVE REGISTER -  PL'!G14, "-")</f>
        <v>-</v>
      </c>
      <c r="R101" s="430" t="str">
        <f>IF(AND('5b. PRESUMPTIVE REGISTER -  PL'!C14 = '3.2 TAT ANALYSIS'!$R$100,
'5b. PRESUMPTIVE REGISTER -  PL'!I14&lt;&gt;0,
'5b. PRESUMPTIVE REGISTER -  PL'!G14&lt;&gt;0),
'5b. PRESUMPTIVE REGISTER -  PL'!I14-'5b. PRESUMPTIVE REGISTER -  PL'!G14, "-")</f>
        <v>-</v>
      </c>
      <c r="S101" s="430" t="str">
        <f>IF(AND('5b. PRESUMPTIVE REGISTER -  PL'!C14 = '3.2 TAT ANALYSIS'!$S$100,
'5b. PRESUMPTIVE REGISTER -  PL'!I14&lt;&gt;0,
'5b. PRESUMPTIVE REGISTER -  PL'!G14&lt;&gt;0),
'5b. PRESUMPTIVE REGISTER -  PL'!I14-'5b. PRESUMPTIVE REGISTER -  PL'!G14, "-")</f>
        <v>-</v>
      </c>
      <c r="T101" s="437" t="str">
        <f>IF(AND('5b. PRESUMPTIVE REGISTER -  PL'!I14&lt;&gt;0,
'5b. PRESUMPTIVE REGISTER -  PL'!G14&lt;&gt;0),
'5b. PRESUMPTIVE REGISTER -  PL'!I14-'5b. PRESUMPTIVE REGISTER -  PL'!G14, "-")</f>
        <v>-</v>
      </c>
    </row>
    <row r="102" spans="2:20" customFormat="1" ht="27" customHeight="1" x14ac:dyDescent="0.3">
      <c r="B102" s="111"/>
      <c r="C102" s="112"/>
      <c r="D102" s="112"/>
      <c r="E102" s="112"/>
      <c r="F102" s="112"/>
      <c r="G102" s="112"/>
      <c r="H102" s="112"/>
      <c r="I102" s="112"/>
      <c r="J102" s="112"/>
      <c r="K102" s="112"/>
      <c r="L102" s="112"/>
      <c r="M102" s="112"/>
      <c r="N102" s="421" t="s">
        <v>10</v>
      </c>
      <c r="O102" s="449" t="str">
        <f>IF(AND('5b. PRESUMPTIVE REGISTER -  PL'!C15 ='3.2 TAT ANALYSIS'!$O$100,
'5b. PRESUMPTIVE REGISTER -  PL'!I15&lt;&gt;0,
'5b. PRESUMPTIVE REGISTER -  PL'!G15&lt;&gt;0),
'5b. PRESUMPTIVE REGISTER -  PL'!I15-'5b. PRESUMPTIVE REGISTER -  PL'!G15, "-")</f>
        <v>-</v>
      </c>
      <c r="P102" s="430" t="str">
        <f>IF(AND('5b. PRESUMPTIVE REGISTER -  PL'!C15 = '3.2 TAT ANALYSIS'!$P$100,
'5b. PRESUMPTIVE REGISTER -  PL'!I15&lt;&gt;0,
'5b. PRESUMPTIVE REGISTER -  PL'!G15&lt;&gt;0),
'5b. PRESUMPTIVE REGISTER -  PL'!I15-'5b. PRESUMPTIVE REGISTER -  PL'!G15, "-")</f>
        <v>-</v>
      </c>
      <c r="Q102" s="430" t="str">
        <f>IF(AND('5b. PRESUMPTIVE REGISTER -  PL'!C15 = '3.2 TAT ANALYSIS'!$Q$100,
'5b. PRESUMPTIVE REGISTER -  PL'!I15&lt;&gt;0,
'5b. PRESUMPTIVE REGISTER -  PL'!G15&lt;&gt;0),
'5b. PRESUMPTIVE REGISTER -  PL'!I15-'5b. PRESUMPTIVE REGISTER -  PL'!G15, "-")</f>
        <v>-</v>
      </c>
      <c r="R102" s="430" t="str">
        <f>IF(AND('5b. PRESUMPTIVE REGISTER -  PL'!C15 = '3.2 TAT ANALYSIS'!$R$100,
'5b. PRESUMPTIVE REGISTER -  PL'!I15&lt;&gt;0,
'5b. PRESUMPTIVE REGISTER -  PL'!G15&lt;&gt;0),
'5b. PRESUMPTIVE REGISTER -  PL'!I15-'5b. PRESUMPTIVE REGISTER -  PL'!G15, "-")</f>
        <v>-</v>
      </c>
      <c r="S102" s="430" t="str">
        <f>IF(AND('5b. PRESUMPTIVE REGISTER -  PL'!C15 = '3.2 TAT ANALYSIS'!$S$100,
'5b. PRESUMPTIVE REGISTER -  PL'!I15&lt;&gt;0,
'5b. PRESUMPTIVE REGISTER -  PL'!G15&lt;&gt;0),
'5b. PRESUMPTIVE REGISTER -  PL'!I15-'5b. PRESUMPTIVE REGISTER -  PL'!G15, "-")</f>
        <v>-</v>
      </c>
      <c r="T102" s="437" t="str">
        <f>IF(AND('5b. PRESUMPTIVE REGISTER -  PL'!I15&lt;&gt;0,
'5b. PRESUMPTIVE REGISTER -  PL'!G15&lt;&gt;0),
'5b. PRESUMPTIVE REGISTER -  PL'!I15-'5b. PRESUMPTIVE REGISTER -  PL'!G15, "-")</f>
        <v>-</v>
      </c>
    </row>
    <row r="103" spans="2:20" customFormat="1" ht="27" customHeight="1" x14ac:dyDescent="0.3">
      <c r="B103" s="111"/>
      <c r="C103" s="112"/>
      <c r="D103" s="112"/>
      <c r="E103" s="112"/>
      <c r="F103" s="112"/>
      <c r="G103" s="112"/>
      <c r="H103" s="112"/>
      <c r="I103" s="112"/>
      <c r="J103" s="112"/>
      <c r="K103" s="112"/>
      <c r="L103" s="112"/>
      <c r="M103" s="112"/>
      <c r="N103" s="419" t="s">
        <v>11</v>
      </c>
      <c r="O103" s="449" t="str">
        <f>IF(AND('5b. PRESUMPTIVE REGISTER -  PL'!C16 ='3.2 TAT ANALYSIS'!$O$100,
'5b. PRESUMPTIVE REGISTER -  PL'!I16&lt;&gt;0,
'5b. PRESUMPTIVE REGISTER -  PL'!G16&lt;&gt;0),
'5b. PRESUMPTIVE REGISTER -  PL'!I16-'5b. PRESUMPTIVE REGISTER -  PL'!G16, "-")</f>
        <v>-</v>
      </c>
      <c r="P103" s="430" t="str">
        <f>IF(AND('5b. PRESUMPTIVE REGISTER -  PL'!C16 = '3.2 TAT ANALYSIS'!$P$100,
'5b. PRESUMPTIVE REGISTER -  PL'!I16&lt;&gt;0,
'5b. PRESUMPTIVE REGISTER -  PL'!G16&lt;&gt;0),
'5b. PRESUMPTIVE REGISTER -  PL'!I16-'5b. PRESUMPTIVE REGISTER -  PL'!G16, "-")</f>
        <v>-</v>
      </c>
      <c r="Q103" s="430" t="str">
        <f>IF(AND('5b. PRESUMPTIVE REGISTER -  PL'!C16 = '3.2 TAT ANALYSIS'!$Q$100,
'5b. PRESUMPTIVE REGISTER -  PL'!I16&lt;&gt;0,
'5b. PRESUMPTIVE REGISTER -  PL'!G16&lt;&gt;0),
'5b. PRESUMPTIVE REGISTER -  PL'!I16-'5b. PRESUMPTIVE REGISTER -  PL'!G16, "-")</f>
        <v>-</v>
      </c>
      <c r="R103" s="430" t="str">
        <f>IF(AND('5b. PRESUMPTIVE REGISTER -  PL'!C16 = '3.2 TAT ANALYSIS'!$R$100,
'5b. PRESUMPTIVE REGISTER -  PL'!I16&lt;&gt;0,
'5b. PRESUMPTIVE REGISTER -  PL'!G16&lt;&gt;0),
'5b. PRESUMPTIVE REGISTER -  PL'!I16-'5b. PRESUMPTIVE REGISTER -  PL'!G16, "-")</f>
        <v>-</v>
      </c>
      <c r="S103" s="430" t="str">
        <f>IF(AND('5b. PRESUMPTIVE REGISTER -  PL'!C16 = '3.2 TAT ANALYSIS'!$S$100,
'5b. PRESUMPTIVE REGISTER -  PL'!I16&lt;&gt;0,
'5b. PRESUMPTIVE REGISTER -  PL'!G16&lt;&gt;0),
'5b. PRESUMPTIVE REGISTER -  PL'!I16-'5b. PRESUMPTIVE REGISTER -  PL'!G16, "-")</f>
        <v>-</v>
      </c>
      <c r="T103" s="437" t="str">
        <f>IF(AND('5b. PRESUMPTIVE REGISTER -  PL'!I16&lt;&gt;0,
'5b. PRESUMPTIVE REGISTER -  PL'!G16&lt;&gt;0),
'5b. PRESUMPTIVE REGISTER -  PL'!I16-'5b. PRESUMPTIVE REGISTER -  PL'!G16, "-")</f>
        <v>-</v>
      </c>
    </row>
    <row r="104" spans="2:20" customFormat="1" ht="27" customHeight="1" x14ac:dyDescent="0.3">
      <c r="B104" s="111"/>
      <c r="C104" s="112"/>
      <c r="D104" s="112"/>
      <c r="E104" s="112"/>
      <c r="F104" s="112"/>
      <c r="G104" s="112"/>
      <c r="H104" s="112"/>
      <c r="I104" s="112"/>
      <c r="J104" s="112"/>
      <c r="K104" s="112"/>
      <c r="L104" s="112"/>
      <c r="M104" s="112"/>
      <c r="N104" s="419" t="s">
        <v>12</v>
      </c>
      <c r="O104" s="449" t="str">
        <f>IF(AND('5b. PRESUMPTIVE REGISTER -  PL'!C17 ='3.2 TAT ANALYSIS'!$O$100,
'5b. PRESUMPTIVE REGISTER -  PL'!I17&lt;&gt;0,
'5b. PRESUMPTIVE REGISTER -  PL'!G17&lt;&gt;0),
'5b. PRESUMPTIVE REGISTER -  PL'!I17-'5b. PRESUMPTIVE REGISTER -  PL'!G17, "-")</f>
        <v>-</v>
      </c>
      <c r="P104" s="430" t="str">
        <f>IF(AND('5b. PRESUMPTIVE REGISTER -  PL'!C17 = '3.2 TAT ANALYSIS'!$P$100,
'5b. PRESUMPTIVE REGISTER -  PL'!I17&lt;&gt;0,
'5b. PRESUMPTIVE REGISTER -  PL'!G17&lt;&gt;0),
'5b. PRESUMPTIVE REGISTER -  PL'!I17-'5b. PRESUMPTIVE REGISTER -  PL'!G17, "-")</f>
        <v>-</v>
      </c>
      <c r="Q104" s="430" t="str">
        <f>IF(AND('5b. PRESUMPTIVE REGISTER -  PL'!C17 = '3.2 TAT ANALYSIS'!$Q$100,
'5b. PRESUMPTIVE REGISTER -  PL'!I17&lt;&gt;0,
'5b. PRESUMPTIVE REGISTER -  PL'!G17&lt;&gt;0),
'5b. PRESUMPTIVE REGISTER -  PL'!I17-'5b. PRESUMPTIVE REGISTER -  PL'!G17, "-")</f>
        <v>-</v>
      </c>
      <c r="R104" s="430" t="str">
        <f>IF(AND('5b. PRESUMPTIVE REGISTER -  PL'!C17 = '3.2 TAT ANALYSIS'!$R$100,
'5b. PRESUMPTIVE REGISTER -  PL'!I17&lt;&gt;0,
'5b. PRESUMPTIVE REGISTER -  PL'!G17&lt;&gt;0),
'5b. PRESUMPTIVE REGISTER -  PL'!I17-'5b. PRESUMPTIVE REGISTER -  PL'!G17, "-")</f>
        <v>-</v>
      </c>
      <c r="S104" s="430" t="str">
        <f>IF(AND('5b. PRESUMPTIVE REGISTER -  PL'!C17 = '3.2 TAT ANALYSIS'!$S$100,
'5b. PRESUMPTIVE REGISTER -  PL'!I17&lt;&gt;0,
'5b. PRESUMPTIVE REGISTER -  PL'!G17&lt;&gt;0),
'5b. PRESUMPTIVE REGISTER -  PL'!I17-'5b. PRESUMPTIVE REGISTER -  PL'!G17, "-")</f>
        <v>-</v>
      </c>
      <c r="T104" s="437" t="str">
        <f>IF(AND('5b. PRESUMPTIVE REGISTER -  PL'!I17&lt;&gt;0,
'5b. PRESUMPTIVE REGISTER -  PL'!G17&lt;&gt;0),
'5b. PRESUMPTIVE REGISTER -  PL'!I17-'5b. PRESUMPTIVE REGISTER -  PL'!G17, "-")</f>
        <v>-</v>
      </c>
    </row>
    <row r="105" spans="2:20" customFormat="1" ht="27" customHeight="1" x14ac:dyDescent="0.3">
      <c r="B105" s="111"/>
      <c r="C105" s="112"/>
      <c r="D105" s="112"/>
      <c r="E105" s="112"/>
      <c r="F105" s="112"/>
      <c r="G105" s="112"/>
      <c r="H105" s="112"/>
      <c r="I105" s="112"/>
      <c r="J105" s="112"/>
      <c r="K105" s="112"/>
      <c r="L105" s="112"/>
      <c r="M105" s="112"/>
      <c r="N105" s="419" t="s">
        <v>32</v>
      </c>
      <c r="O105" s="449" t="str">
        <f>IF(AND('5b. PRESUMPTIVE REGISTER -  PL'!C18 ='3.2 TAT ANALYSIS'!$O$100,
'5b. PRESUMPTIVE REGISTER -  PL'!I18&lt;&gt;0,
'5b. PRESUMPTIVE REGISTER -  PL'!G18&lt;&gt;0),
'5b. PRESUMPTIVE REGISTER -  PL'!I18-'5b. PRESUMPTIVE REGISTER -  PL'!G18, "-")</f>
        <v>-</v>
      </c>
      <c r="P105" s="430" t="str">
        <f>IF(AND('5b. PRESUMPTIVE REGISTER -  PL'!C18 = '3.2 TAT ANALYSIS'!$P$100,
'5b. PRESUMPTIVE REGISTER -  PL'!I18&lt;&gt;0,
'5b. PRESUMPTIVE REGISTER -  PL'!G18&lt;&gt;0),
'5b. PRESUMPTIVE REGISTER -  PL'!I18-'5b. PRESUMPTIVE REGISTER -  PL'!G18, "-")</f>
        <v>-</v>
      </c>
      <c r="Q105" s="430" t="str">
        <f>IF(AND('5b. PRESUMPTIVE REGISTER -  PL'!C18 = '3.2 TAT ANALYSIS'!$Q$100,
'5b. PRESUMPTIVE REGISTER -  PL'!I18&lt;&gt;0,
'5b. PRESUMPTIVE REGISTER -  PL'!G18&lt;&gt;0),
'5b. PRESUMPTIVE REGISTER -  PL'!I18-'5b. PRESUMPTIVE REGISTER -  PL'!G18, "-")</f>
        <v>-</v>
      </c>
      <c r="R105" s="430" t="str">
        <f>IF(AND('5b. PRESUMPTIVE REGISTER -  PL'!C18 = '3.2 TAT ANALYSIS'!$R$100,
'5b. PRESUMPTIVE REGISTER -  PL'!I18&lt;&gt;0,
'5b. PRESUMPTIVE REGISTER -  PL'!G18&lt;&gt;0),
'5b. PRESUMPTIVE REGISTER -  PL'!I18-'5b. PRESUMPTIVE REGISTER -  PL'!G18, "-")</f>
        <v>-</v>
      </c>
      <c r="S105" s="430" t="str">
        <f>IF(AND('5b. PRESUMPTIVE REGISTER -  PL'!C18 = '3.2 TAT ANALYSIS'!$S$100,
'5b. PRESUMPTIVE REGISTER -  PL'!I18&lt;&gt;0,
'5b. PRESUMPTIVE REGISTER -  PL'!G18&lt;&gt;0),
'5b. PRESUMPTIVE REGISTER -  PL'!I18-'5b. PRESUMPTIVE REGISTER -  PL'!G18, "-")</f>
        <v>-</v>
      </c>
      <c r="T105" s="437" t="str">
        <f>IF(AND('5b. PRESUMPTIVE REGISTER -  PL'!I18&lt;&gt;0,
'5b. PRESUMPTIVE REGISTER -  PL'!G18&lt;&gt;0),
'5b. PRESUMPTIVE REGISTER -  PL'!I18-'5b. PRESUMPTIVE REGISTER -  PL'!G18, "-")</f>
        <v>-</v>
      </c>
    </row>
    <row r="106" spans="2:20" customFormat="1" ht="27" customHeight="1" x14ac:dyDescent="0.3">
      <c r="B106" s="111"/>
      <c r="C106" s="112"/>
      <c r="D106" s="112"/>
      <c r="E106" s="112"/>
      <c r="F106" s="112"/>
      <c r="G106" s="112"/>
      <c r="H106" s="112"/>
      <c r="I106" s="112"/>
      <c r="J106" s="112"/>
      <c r="K106" s="112"/>
      <c r="L106" s="112"/>
      <c r="M106" s="112"/>
      <c r="N106" s="419" t="s">
        <v>33</v>
      </c>
      <c r="O106" s="449" t="str">
        <f>IF(AND('5b. PRESUMPTIVE REGISTER -  PL'!C19 ='3.2 TAT ANALYSIS'!$O$100,
'5b. PRESUMPTIVE REGISTER -  PL'!I19&lt;&gt;0,
'5b. PRESUMPTIVE REGISTER -  PL'!G19&lt;&gt;0),
'5b. PRESUMPTIVE REGISTER -  PL'!I19-'5b. PRESUMPTIVE REGISTER -  PL'!G19, "-")</f>
        <v>-</v>
      </c>
      <c r="P106" s="430" t="str">
        <f>IF(AND('5b. PRESUMPTIVE REGISTER -  PL'!C19 = '3.2 TAT ANALYSIS'!$P$100,
'5b. PRESUMPTIVE REGISTER -  PL'!I19&lt;&gt;0,
'5b. PRESUMPTIVE REGISTER -  PL'!G19&lt;&gt;0),
'5b. PRESUMPTIVE REGISTER -  PL'!I19-'5b. PRESUMPTIVE REGISTER -  PL'!G19, "-")</f>
        <v>-</v>
      </c>
      <c r="Q106" s="430" t="str">
        <f>IF(AND('5b. PRESUMPTIVE REGISTER -  PL'!C19 = '3.2 TAT ANALYSIS'!$Q$100,
'5b. PRESUMPTIVE REGISTER -  PL'!I19&lt;&gt;0,
'5b. PRESUMPTIVE REGISTER -  PL'!G19&lt;&gt;0),
'5b. PRESUMPTIVE REGISTER -  PL'!I19-'5b. PRESUMPTIVE REGISTER -  PL'!G19, "-")</f>
        <v>-</v>
      </c>
      <c r="R106" s="430" t="str">
        <f>IF(AND('5b. PRESUMPTIVE REGISTER -  PL'!C19 = '3.2 TAT ANALYSIS'!$R$100,
'5b. PRESUMPTIVE REGISTER -  PL'!I19&lt;&gt;0,
'5b. PRESUMPTIVE REGISTER -  PL'!G19&lt;&gt;0),
'5b. PRESUMPTIVE REGISTER -  PL'!I19-'5b. PRESUMPTIVE REGISTER -  PL'!G19, "-")</f>
        <v>-</v>
      </c>
      <c r="S106" s="430" t="str">
        <f>IF(AND('5b. PRESUMPTIVE REGISTER -  PL'!C19 = '3.2 TAT ANALYSIS'!$S$100,
'5b. PRESUMPTIVE REGISTER -  PL'!I19&lt;&gt;0,
'5b. PRESUMPTIVE REGISTER -  PL'!G19&lt;&gt;0),
'5b. PRESUMPTIVE REGISTER -  PL'!I19-'5b. PRESUMPTIVE REGISTER -  PL'!G19, "-")</f>
        <v>-</v>
      </c>
      <c r="T106" s="437" t="str">
        <f>IF(AND('5b. PRESUMPTIVE REGISTER -  PL'!I19&lt;&gt;0,
'5b. PRESUMPTIVE REGISTER -  PL'!G19&lt;&gt;0),
'5b. PRESUMPTIVE REGISTER -  PL'!I19-'5b. PRESUMPTIVE REGISTER -  PL'!G19, "-")</f>
        <v>-</v>
      </c>
    </row>
    <row r="107" spans="2:20" customFormat="1" ht="27" customHeight="1" x14ac:dyDescent="0.3">
      <c r="B107" s="111"/>
      <c r="C107" s="112"/>
      <c r="D107" s="112"/>
      <c r="E107" s="112"/>
      <c r="F107" s="112"/>
      <c r="G107" s="112"/>
      <c r="H107" s="112"/>
      <c r="I107" s="112"/>
      <c r="J107" s="112"/>
      <c r="K107" s="112"/>
      <c r="L107" s="112"/>
      <c r="M107" s="112"/>
      <c r="N107" s="419" t="s">
        <v>34</v>
      </c>
      <c r="O107" s="449" t="str">
        <f>IF(AND('5b. PRESUMPTIVE REGISTER -  PL'!C20 ='3.2 TAT ANALYSIS'!$O$100,
'5b. PRESUMPTIVE REGISTER -  PL'!I20&lt;&gt;0,
'5b. PRESUMPTIVE REGISTER -  PL'!G20&lt;&gt;0),
'5b. PRESUMPTIVE REGISTER -  PL'!I20-'5b. PRESUMPTIVE REGISTER -  PL'!G20, "-")</f>
        <v>-</v>
      </c>
      <c r="P107" s="430" t="str">
        <f>IF(AND('5b. PRESUMPTIVE REGISTER -  PL'!C20 = '3.2 TAT ANALYSIS'!$P$100,
'5b. PRESUMPTIVE REGISTER -  PL'!I20&lt;&gt;0,
'5b. PRESUMPTIVE REGISTER -  PL'!G20&lt;&gt;0),
'5b. PRESUMPTIVE REGISTER -  PL'!I20-'5b. PRESUMPTIVE REGISTER -  PL'!G20, "-")</f>
        <v>-</v>
      </c>
      <c r="Q107" s="430" t="str">
        <f>IF(AND('5b. PRESUMPTIVE REGISTER -  PL'!C20 = '3.2 TAT ANALYSIS'!$Q$100,
'5b. PRESUMPTIVE REGISTER -  PL'!I20&lt;&gt;0,
'5b. PRESUMPTIVE REGISTER -  PL'!G20&lt;&gt;0),
'5b. PRESUMPTIVE REGISTER -  PL'!I20-'5b. PRESUMPTIVE REGISTER -  PL'!G20, "-")</f>
        <v>-</v>
      </c>
      <c r="R107" s="430" t="str">
        <f>IF(AND('5b. PRESUMPTIVE REGISTER -  PL'!C20 = '3.2 TAT ANALYSIS'!$R$100,
'5b. PRESUMPTIVE REGISTER -  PL'!I20&lt;&gt;0,
'5b. PRESUMPTIVE REGISTER -  PL'!G20&lt;&gt;0),
'5b. PRESUMPTIVE REGISTER -  PL'!I20-'5b. PRESUMPTIVE REGISTER -  PL'!G20, "-")</f>
        <v>-</v>
      </c>
      <c r="S107" s="430" t="str">
        <f>IF(AND('5b. PRESUMPTIVE REGISTER -  PL'!C20 = '3.2 TAT ANALYSIS'!$S$100,
'5b. PRESUMPTIVE REGISTER -  PL'!I20&lt;&gt;0,
'5b. PRESUMPTIVE REGISTER -  PL'!G20&lt;&gt;0),
'5b. PRESUMPTIVE REGISTER -  PL'!I20-'5b. PRESUMPTIVE REGISTER -  PL'!G20, "-")</f>
        <v>-</v>
      </c>
      <c r="T107" s="437" t="str">
        <f>IF(AND('5b. PRESUMPTIVE REGISTER -  PL'!I20&lt;&gt;0,
'5b. PRESUMPTIVE REGISTER -  PL'!G20&lt;&gt;0),
'5b. PRESUMPTIVE REGISTER -  PL'!I20-'5b. PRESUMPTIVE REGISTER -  PL'!G20, "-")</f>
        <v>-</v>
      </c>
    </row>
    <row r="108" spans="2:20" customFormat="1" ht="27" customHeight="1" x14ac:dyDescent="0.3">
      <c r="B108" s="111"/>
      <c r="C108" s="112"/>
      <c r="D108" s="112"/>
      <c r="E108" s="112"/>
      <c r="F108" s="112"/>
      <c r="G108" s="112"/>
      <c r="H108" s="112"/>
      <c r="I108" s="112"/>
      <c r="J108" s="112"/>
      <c r="K108" s="112"/>
      <c r="L108" s="112"/>
      <c r="M108" s="112"/>
      <c r="N108" s="419" t="s">
        <v>35</v>
      </c>
      <c r="O108" s="449" t="str">
        <f>IF(AND('5b. PRESUMPTIVE REGISTER -  PL'!C21 ='3.2 TAT ANALYSIS'!$O$100,
'5b. PRESUMPTIVE REGISTER -  PL'!I21&lt;&gt;0,
'5b. PRESUMPTIVE REGISTER -  PL'!G21&lt;&gt;0),
'5b. PRESUMPTIVE REGISTER -  PL'!I21-'5b. PRESUMPTIVE REGISTER -  PL'!G21, "-")</f>
        <v>-</v>
      </c>
      <c r="P108" s="430" t="str">
        <f>IF(AND('5b. PRESUMPTIVE REGISTER -  PL'!C21 = '3.2 TAT ANALYSIS'!$P$100,
'5b. PRESUMPTIVE REGISTER -  PL'!I21&lt;&gt;0,
'5b. PRESUMPTIVE REGISTER -  PL'!G21&lt;&gt;0),
'5b. PRESUMPTIVE REGISTER -  PL'!I21-'5b. PRESUMPTIVE REGISTER -  PL'!G21, "-")</f>
        <v>-</v>
      </c>
      <c r="Q108" s="430" t="str">
        <f>IF(AND('5b. PRESUMPTIVE REGISTER -  PL'!C21 = '3.2 TAT ANALYSIS'!$Q$100,
'5b. PRESUMPTIVE REGISTER -  PL'!I21&lt;&gt;0,
'5b. PRESUMPTIVE REGISTER -  PL'!G21&lt;&gt;0),
'5b. PRESUMPTIVE REGISTER -  PL'!I21-'5b. PRESUMPTIVE REGISTER -  PL'!G21, "-")</f>
        <v>-</v>
      </c>
      <c r="R108" s="430" t="str">
        <f>IF(AND('5b. PRESUMPTIVE REGISTER -  PL'!C21 = '3.2 TAT ANALYSIS'!$R$100,
'5b. PRESUMPTIVE REGISTER -  PL'!I21&lt;&gt;0,
'5b. PRESUMPTIVE REGISTER -  PL'!G21&lt;&gt;0),
'5b. PRESUMPTIVE REGISTER -  PL'!I21-'5b. PRESUMPTIVE REGISTER -  PL'!G21, "-")</f>
        <v>-</v>
      </c>
      <c r="S108" s="430" t="str">
        <f>IF(AND('5b. PRESUMPTIVE REGISTER -  PL'!C21 = '3.2 TAT ANALYSIS'!$S$100,
'5b. PRESUMPTIVE REGISTER -  PL'!I21&lt;&gt;0,
'5b. PRESUMPTIVE REGISTER -  PL'!G21&lt;&gt;0),
'5b. PRESUMPTIVE REGISTER -  PL'!I21-'5b. PRESUMPTIVE REGISTER -  PL'!G21, "-")</f>
        <v>-</v>
      </c>
      <c r="T108" s="437" t="str">
        <f>IF(AND('5b. PRESUMPTIVE REGISTER -  PL'!I21&lt;&gt;0,
'5b. PRESUMPTIVE REGISTER -  PL'!G21&lt;&gt;0),
'5b. PRESUMPTIVE REGISTER -  PL'!I21-'5b. PRESUMPTIVE REGISTER -  PL'!G21, "-")</f>
        <v>-</v>
      </c>
    </row>
    <row r="109" spans="2:20" customFormat="1" ht="27" customHeight="1" x14ac:dyDescent="0.3">
      <c r="B109" s="111"/>
      <c r="C109" s="112"/>
      <c r="D109" s="112"/>
      <c r="E109" s="112"/>
      <c r="F109" s="112"/>
      <c r="G109" s="112"/>
      <c r="H109" s="112"/>
      <c r="I109" s="112"/>
      <c r="J109" s="112"/>
      <c r="K109" s="112"/>
      <c r="L109" s="112"/>
      <c r="M109" s="112"/>
      <c r="N109" s="419" t="s">
        <v>36</v>
      </c>
      <c r="O109" s="449" t="str">
        <f>IF(AND('5b. PRESUMPTIVE REGISTER -  PL'!C22 ='3.2 TAT ANALYSIS'!$O$100,
'5b. PRESUMPTIVE REGISTER -  PL'!I22&lt;&gt;0,
'5b. PRESUMPTIVE REGISTER -  PL'!G22&lt;&gt;0),
'5b. PRESUMPTIVE REGISTER -  PL'!I22-'5b. PRESUMPTIVE REGISTER -  PL'!G22, "-")</f>
        <v>-</v>
      </c>
      <c r="P109" s="430" t="str">
        <f>IF(AND('5b. PRESUMPTIVE REGISTER -  PL'!C22 = '3.2 TAT ANALYSIS'!$P$100,
'5b. PRESUMPTIVE REGISTER -  PL'!I22&lt;&gt;0,
'5b. PRESUMPTIVE REGISTER -  PL'!G22&lt;&gt;0),
'5b. PRESUMPTIVE REGISTER -  PL'!I22-'5b. PRESUMPTIVE REGISTER -  PL'!G22, "-")</f>
        <v>-</v>
      </c>
      <c r="Q109" s="430" t="str">
        <f>IF(AND('5b. PRESUMPTIVE REGISTER -  PL'!C22 = '3.2 TAT ANALYSIS'!$Q$100,
'5b. PRESUMPTIVE REGISTER -  PL'!I22&lt;&gt;0,
'5b. PRESUMPTIVE REGISTER -  PL'!G22&lt;&gt;0),
'5b. PRESUMPTIVE REGISTER -  PL'!I22-'5b. PRESUMPTIVE REGISTER -  PL'!G22, "-")</f>
        <v>-</v>
      </c>
      <c r="R109" s="430" t="str">
        <f>IF(AND('5b. PRESUMPTIVE REGISTER -  PL'!C22 = '3.2 TAT ANALYSIS'!$R$100,
'5b. PRESUMPTIVE REGISTER -  PL'!I22&lt;&gt;0,
'5b. PRESUMPTIVE REGISTER -  PL'!G22&lt;&gt;0),
'5b. PRESUMPTIVE REGISTER -  PL'!I22-'5b. PRESUMPTIVE REGISTER -  PL'!G22, "-")</f>
        <v>-</v>
      </c>
      <c r="S109" s="430" t="str">
        <f>IF(AND('5b. PRESUMPTIVE REGISTER -  PL'!C22 = '3.2 TAT ANALYSIS'!$S$100,
'5b. PRESUMPTIVE REGISTER -  PL'!I22&lt;&gt;0,
'5b. PRESUMPTIVE REGISTER -  PL'!G22&lt;&gt;0),
'5b. PRESUMPTIVE REGISTER -  PL'!I22-'5b. PRESUMPTIVE REGISTER -  PL'!G22, "-")</f>
        <v>-</v>
      </c>
      <c r="T109" s="437" t="str">
        <f>IF(AND('5b. PRESUMPTIVE REGISTER -  PL'!I22&lt;&gt;0,
'5b. PRESUMPTIVE REGISTER -  PL'!G22&lt;&gt;0),
'5b. PRESUMPTIVE REGISTER -  PL'!I22-'5b. PRESUMPTIVE REGISTER -  PL'!G22, "-")</f>
        <v>-</v>
      </c>
    </row>
    <row r="110" spans="2:20" customFormat="1" ht="27" customHeight="1" x14ac:dyDescent="0.3">
      <c r="B110" s="111"/>
      <c r="C110" s="112"/>
      <c r="D110" s="112"/>
      <c r="E110" s="112"/>
      <c r="F110" s="112"/>
      <c r="G110" s="112"/>
      <c r="H110" s="112"/>
      <c r="I110" s="112"/>
      <c r="J110" s="112"/>
      <c r="K110" s="112"/>
      <c r="L110" s="112"/>
      <c r="M110" s="112"/>
      <c r="N110" s="419" t="s">
        <v>37</v>
      </c>
      <c r="O110" s="449" t="str">
        <f>IF(AND('5b. PRESUMPTIVE REGISTER -  PL'!C23 ='3.2 TAT ANALYSIS'!$O$100,
'5b. PRESUMPTIVE REGISTER -  PL'!I23&lt;&gt;0,
'5b. PRESUMPTIVE REGISTER -  PL'!G23&lt;&gt;0),
'5b. PRESUMPTIVE REGISTER -  PL'!I23-'5b. PRESUMPTIVE REGISTER -  PL'!G23, "-")</f>
        <v>-</v>
      </c>
      <c r="P110" s="430" t="str">
        <f>IF(AND('5b. PRESUMPTIVE REGISTER -  PL'!C23 = '3.2 TAT ANALYSIS'!$P$100,
'5b. PRESUMPTIVE REGISTER -  PL'!I23&lt;&gt;0,
'5b. PRESUMPTIVE REGISTER -  PL'!G23&lt;&gt;0),
'5b. PRESUMPTIVE REGISTER -  PL'!I23-'5b. PRESUMPTIVE REGISTER -  PL'!G23, "-")</f>
        <v>-</v>
      </c>
      <c r="Q110" s="430" t="str">
        <f>IF(AND('5b. PRESUMPTIVE REGISTER -  PL'!C23 = '3.2 TAT ANALYSIS'!$Q$100,
'5b. PRESUMPTIVE REGISTER -  PL'!I23&lt;&gt;0,
'5b. PRESUMPTIVE REGISTER -  PL'!G23&lt;&gt;0),
'5b. PRESUMPTIVE REGISTER -  PL'!I23-'5b. PRESUMPTIVE REGISTER -  PL'!G23, "-")</f>
        <v>-</v>
      </c>
      <c r="R110" s="430" t="str">
        <f>IF(AND('5b. PRESUMPTIVE REGISTER -  PL'!C23 = '3.2 TAT ANALYSIS'!$R$100,
'5b. PRESUMPTIVE REGISTER -  PL'!I23&lt;&gt;0,
'5b. PRESUMPTIVE REGISTER -  PL'!G23&lt;&gt;0),
'5b. PRESUMPTIVE REGISTER -  PL'!I23-'5b. PRESUMPTIVE REGISTER -  PL'!G23, "-")</f>
        <v>-</v>
      </c>
      <c r="S110" s="430" t="str">
        <f>IF(AND('5b. PRESUMPTIVE REGISTER -  PL'!C23 = '3.2 TAT ANALYSIS'!$S$100,
'5b. PRESUMPTIVE REGISTER -  PL'!I23&lt;&gt;0,
'5b. PRESUMPTIVE REGISTER -  PL'!G23&lt;&gt;0),
'5b. PRESUMPTIVE REGISTER -  PL'!I23-'5b. PRESUMPTIVE REGISTER -  PL'!G23, "-")</f>
        <v>-</v>
      </c>
      <c r="T110" s="437" t="str">
        <f>IF(AND('5b. PRESUMPTIVE REGISTER -  PL'!I23&lt;&gt;0,
'5b. PRESUMPTIVE REGISTER -  PL'!G23&lt;&gt;0),
'5b. PRESUMPTIVE REGISTER -  PL'!I23-'5b. PRESUMPTIVE REGISTER -  PL'!G23, "-")</f>
        <v>-</v>
      </c>
    </row>
    <row r="111" spans="2:20" customFormat="1" ht="27" customHeight="1" x14ac:dyDescent="0.3">
      <c r="B111" s="111"/>
      <c r="C111" s="112"/>
      <c r="D111" s="112"/>
      <c r="E111" s="112"/>
      <c r="F111" s="112"/>
      <c r="G111" s="112"/>
      <c r="H111" s="112"/>
      <c r="I111" s="112"/>
      <c r="J111" s="112"/>
      <c r="K111" s="112"/>
      <c r="L111" s="112"/>
      <c r="M111" s="112"/>
      <c r="N111" s="419" t="s">
        <v>38</v>
      </c>
      <c r="O111" s="449" t="str">
        <f>IF(AND('5b. PRESUMPTIVE REGISTER -  PL'!C24 ='3.2 TAT ANALYSIS'!$O$100,
'5b. PRESUMPTIVE REGISTER -  PL'!I24&lt;&gt;0,
'5b. PRESUMPTIVE REGISTER -  PL'!G24&lt;&gt;0),
'5b. PRESUMPTIVE REGISTER -  PL'!I24-'5b. PRESUMPTIVE REGISTER -  PL'!G24, "-")</f>
        <v>-</v>
      </c>
      <c r="P111" s="430" t="str">
        <f>IF(AND('5b. PRESUMPTIVE REGISTER -  PL'!C24 = '3.2 TAT ANALYSIS'!$P$100,
'5b. PRESUMPTIVE REGISTER -  PL'!I24&lt;&gt;0,
'5b. PRESUMPTIVE REGISTER -  PL'!G24&lt;&gt;0),
'5b. PRESUMPTIVE REGISTER -  PL'!I24-'5b. PRESUMPTIVE REGISTER -  PL'!G24, "-")</f>
        <v>-</v>
      </c>
      <c r="Q111" s="430" t="str">
        <f>IF(AND('5b. PRESUMPTIVE REGISTER -  PL'!C24 = '3.2 TAT ANALYSIS'!$Q$100,
'5b. PRESUMPTIVE REGISTER -  PL'!I24&lt;&gt;0,
'5b. PRESUMPTIVE REGISTER -  PL'!G24&lt;&gt;0),
'5b. PRESUMPTIVE REGISTER -  PL'!I24-'5b. PRESUMPTIVE REGISTER -  PL'!G24, "-")</f>
        <v>-</v>
      </c>
      <c r="R111" s="430" t="str">
        <f>IF(AND('5b. PRESUMPTIVE REGISTER -  PL'!C24 = '3.2 TAT ANALYSIS'!$R$100,
'5b. PRESUMPTIVE REGISTER -  PL'!I24&lt;&gt;0,
'5b. PRESUMPTIVE REGISTER -  PL'!G24&lt;&gt;0),
'5b. PRESUMPTIVE REGISTER -  PL'!I24-'5b. PRESUMPTIVE REGISTER -  PL'!G24, "-")</f>
        <v>-</v>
      </c>
      <c r="S111" s="430" t="str">
        <f>IF(AND('5b. PRESUMPTIVE REGISTER -  PL'!C24 = '3.2 TAT ANALYSIS'!$S$100,
'5b. PRESUMPTIVE REGISTER -  PL'!I24&lt;&gt;0,
'5b. PRESUMPTIVE REGISTER -  PL'!G24&lt;&gt;0),
'5b. PRESUMPTIVE REGISTER -  PL'!I24-'5b. PRESUMPTIVE REGISTER -  PL'!G24, "-")</f>
        <v>-</v>
      </c>
      <c r="T111" s="437" t="str">
        <f>IF(AND('5b. PRESUMPTIVE REGISTER -  PL'!I24&lt;&gt;0,
'5b. PRESUMPTIVE REGISTER -  PL'!G24&lt;&gt;0),
'5b. PRESUMPTIVE REGISTER -  PL'!I24-'5b. PRESUMPTIVE REGISTER -  PL'!G24, "-")</f>
        <v>-</v>
      </c>
    </row>
    <row r="112" spans="2:20" customFormat="1" ht="27" customHeight="1" x14ac:dyDescent="0.3">
      <c r="B112" s="111"/>
      <c r="C112" s="112"/>
      <c r="D112" s="112"/>
      <c r="E112" s="112"/>
      <c r="F112" s="112"/>
      <c r="G112" s="112"/>
      <c r="H112" s="112"/>
      <c r="I112" s="112"/>
      <c r="J112" s="112"/>
      <c r="K112" s="112"/>
      <c r="L112" s="112"/>
      <c r="M112" s="112"/>
      <c r="N112" s="419" t="s">
        <v>39</v>
      </c>
      <c r="O112" s="449" t="str">
        <f>IF(AND('5b. PRESUMPTIVE REGISTER -  PL'!C25 ='3.2 TAT ANALYSIS'!$O$100,
'5b. PRESUMPTIVE REGISTER -  PL'!I25&lt;&gt;0,
'5b. PRESUMPTIVE REGISTER -  PL'!G25&lt;&gt;0),
'5b. PRESUMPTIVE REGISTER -  PL'!I25-'5b. PRESUMPTIVE REGISTER -  PL'!G25, "-")</f>
        <v>-</v>
      </c>
      <c r="P112" s="430" t="str">
        <f>IF(AND('5b. PRESUMPTIVE REGISTER -  PL'!C25 = '3.2 TAT ANALYSIS'!$P$100,
'5b. PRESUMPTIVE REGISTER -  PL'!I25&lt;&gt;0,
'5b. PRESUMPTIVE REGISTER -  PL'!G25&lt;&gt;0),
'5b. PRESUMPTIVE REGISTER -  PL'!I25-'5b. PRESUMPTIVE REGISTER -  PL'!G25, "-")</f>
        <v>-</v>
      </c>
      <c r="Q112" s="430" t="str">
        <f>IF(AND('5b. PRESUMPTIVE REGISTER -  PL'!C25 = '3.2 TAT ANALYSIS'!$Q$100,
'5b. PRESUMPTIVE REGISTER -  PL'!I25&lt;&gt;0,
'5b. PRESUMPTIVE REGISTER -  PL'!G25&lt;&gt;0),
'5b. PRESUMPTIVE REGISTER -  PL'!I25-'5b. PRESUMPTIVE REGISTER -  PL'!G25, "-")</f>
        <v>-</v>
      </c>
      <c r="R112" s="430" t="str">
        <f>IF(AND('5b. PRESUMPTIVE REGISTER -  PL'!C25 = '3.2 TAT ANALYSIS'!$R$100,
'5b. PRESUMPTIVE REGISTER -  PL'!I25&lt;&gt;0,
'5b. PRESUMPTIVE REGISTER -  PL'!G25&lt;&gt;0),
'5b. PRESUMPTIVE REGISTER -  PL'!I25-'5b. PRESUMPTIVE REGISTER -  PL'!G25, "-")</f>
        <v>-</v>
      </c>
      <c r="S112" s="430" t="str">
        <f>IF(AND('5b. PRESUMPTIVE REGISTER -  PL'!C25 = '3.2 TAT ANALYSIS'!$S$100,
'5b. PRESUMPTIVE REGISTER -  PL'!I25&lt;&gt;0,
'5b. PRESUMPTIVE REGISTER -  PL'!G25&lt;&gt;0),
'5b. PRESUMPTIVE REGISTER -  PL'!I25-'5b. PRESUMPTIVE REGISTER -  PL'!G25, "-")</f>
        <v>-</v>
      </c>
      <c r="T112" s="437" t="str">
        <f>IF(AND('5b. PRESUMPTIVE REGISTER -  PL'!I25&lt;&gt;0,
'5b. PRESUMPTIVE REGISTER -  PL'!G25&lt;&gt;0),
'5b. PRESUMPTIVE REGISTER -  PL'!I25-'5b. PRESUMPTIVE REGISTER -  PL'!G25, "-")</f>
        <v>-</v>
      </c>
    </row>
    <row r="113" spans="2:20" customFormat="1" ht="27" customHeight="1" x14ac:dyDescent="0.3">
      <c r="B113" s="111"/>
      <c r="C113" s="112"/>
      <c r="D113" s="112"/>
      <c r="E113" s="112"/>
      <c r="F113" s="112"/>
      <c r="G113" s="112"/>
      <c r="H113" s="112"/>
      <c r="I113" s="112"/>
      <c r="J113" s="112"/>
      <c r="K113" s="112"/>
      <c r="L113" s="112"/>
      <c r="M113" s="112"/>
      <c r="N113" s="419" t="s">
        <v>40</v>
      </c>
      <c r="O113" s="449" t="str">
        <f>IF(AND('5b. PRESUMPTIVE REGISTER -  PL'!C26 ='3.2 TAT ANALYSIS'!$O$100,
'5b. PRESUMPTIVE REGISTER -  PL'!I26&lt;&gt;0,
'5b. PRESUMPTIVE REGISTER -  PL'!G26&lt;&gt;0),
'5b. PRESUMPTIVE REGISTER -  PL'!I26-'5b. PRESUMPTIVE REGISTER -  PL'!G26, "-")</f>
        <v>-</v>
      </c>
      <c r="P113" s="430" t="str">
        <f>IF(AND('5b. PRESUMPTIVE REGISTER -  PL'!C26 = '3.2 TAT ANALYSIS'!$P$100,
'5b. PRESUMPTIVE REGISTER -  PL'!I26&lt;&gt;0,
'5b. PRESUMPTIVE REGISTER -  PL'!G26&lt;&gt;0),
'5b. PRESUMPTIVE REGISTER -  PL'!I26-'5b. PRESUMPTIVE REGISTER -  PL'!G26, "-")</f>
        <v>-</v>
      </c>
      <c r="Q113" s="430" t="str">
        <f>IF(AND('5b. PRESUMPTIVE REGISTER -  PL'!C26 = '3.2 TAT ANALYSIS'!$Q$100,
'5b. PRESUMPTIVE REGISTER -  PL'!I26&lt;&gt;0,
'5b. PRESUMPTIVE REGISTER -  PL'!G26&lt;&gt;0),
'5b. PRESUMPTIVE REGISTER -  PL'!I26-'5b. PRESUMPTIVE REGISTER -  PL'!G26, "-")</f>
        <v>-</v>
      </c>
      <c r="R113" s="430" t="str">
        <f>IF(AND('5b. PRESUMPTIVE REGISTER -  PL'!C26 = '3.2 TAT ANALYSIS'!$R$100,
'5b. PRESUMPTIVE REGISTER -  PL'!I26&lt;&gt;0,
'5b. PRESUMPTIVE REGISTER -  PL'!G26&lt;&gt;0),
'5b. PRESUMPTIVE REGISTER -  PL'!I26-'5b. PRESUMPTIVE REGISTER -  PL'!G26, "-")</f>
        <v>-</v>
      </c>
      <c r="S113" s="430" t="str">
        <f>IF(AND('5b. PRESUMPTIVE REGISTER -  PL'!C26 = '3.2 TAT ANALYSIS'!$S$100,
'5b. PRESUMPTIVE REGISTER -  PL'!I26&lt;&gt;0,
'5b. PRESUMPTIVE REGISTER -  PL'!G26&lt;&gt;0),
'5b. PRESUMPTIVE REGISTER -  PL'!I26-'5b. PRESUMPTIVE REGISTER -  PL'!G26, "-")</f>
        <v>-</v>
      </c>
      <c r="T113" s="437" t="str">
        <f>IF(AND('5b. PRESUMPTIVE REGISTER -  PL'!I26&lt;&gt;0,
'5b. PRESUMPTIVE REGISTER -  PL'!G26&lt;&gt;0),
'5b. PRESUMPTIVE REGISTER -  PL'!I26-'5b. PRESUMPTIVE REGISTER -  PL'!G26, "-")</f>
        <v>-</v>
      </c>
    </row>
    <row r="114" spans="2:20" customFormat="1" ht="27" customHeight="1" x14ac:dyDescent="0.3">
      <c r="B114" s="111"/>
      <c r="C114" s="112"/>
      <c r="D114" s="112"/>
      <c r="E114" s="112"/>
      <c r="F114" s="112"/>
      <c r="G114" s="112"/>
      <c r="H114" s="112"/>
      <c r="I114" s="112"/>
      <c r="J114" s="112"/>
      <c r="K114" s="112"/>
      <c r="L114" s="112"/>
      <c r="M114" s="112"/>
      <c r="N114" s="419" t="s">
        <v>41</v>
      </c>
      <c r="O114" s="449" t="str">
        <f>IF(AND('5b. PRESUMPTIVE REGISTER -  PL'!C27 ='3.2 TAT ANALYSIS'!$O$100,
'5b. PRESUMPTIVE REGISTER -  PL'!I27&lt;&gt;0,
'5b. PRESUMPTIVE REGISTER -  PL'!G27&lt;&gt;0),
'5b. PRESUMPTIVE REGISTER -  PL'!I27-'5b. PRESUMPTIVE REGISTER -  PL'!G27, "-")</f>
        <v>-</v>
      </c>
      <c r="P114" s="430" t="str">
        <f>IF(AND('5b. PRESUMPTIVE REGISTER -  PL'!C27 = '3.2 TAT ANALYSIS'!$P$100,
'5b. PRESUMPTIVE REGISTER -  PL'!I27&lt;&gt;0,
'5b. PRESUMPTIVE REGISTER -  PL'!G27&lt;&gt;0),
'5b. PRESUMPTIVE REGISTER -  PL'!I27-'5b. PRESUMPTIVE REGISTER -  PL'!G27, "-")</f>
        <v>-</v>
      </c>
      <c r="Q114" s="430" t="str">
        <f>IF(AND('5b. PRESUMPTIVE REGISTER -  PL'!C27 = '3.2 TAT ANALYSIS'!$Q$100,
'5b. PRESUMPTIVE REGISTER -  PL'!I27&lt;&gt;0,
'5b. PRESUMPTIVE REGISTER -  PL'!G27&lt;&gt;0),
'5b. PRESUMPTIVE REGISTER -  PL'!I27-'5b. PRESUMPTIVE REGISTER -  PL'!G27, "-")</f>
        <v>-</v>
      </c>
      <c r="R114" s="430" t="str">
        <f>IF(AND('5b. PRESUMPTIVE REGISTER -  PL'!C27 = '3.2 TAT ANALYSIS'!$R$100,
'5b. PRESUMPTIVE REGISTER -  PL'!I27&lt;&gt;0,
'5b. PRESUMPTIVE REGISTER -  PL'!G27&lt;&gt;0),
'5b. PRESUMPTIVE REGISTER -  PL'!I27-'5b. PRESUMPTIVE REGISTER -  PL'!G27, "-")</f>
        <v>-</v>
      </c>
      <c r="S114" s="430" t="str">
        <f>IF(AND('5b. PRESUMPTIVE REGISTER -  PL'!C27 = '3.2 TAT ANALYSIS'!$S$100,
'5b. PRESUMPTIVE REGISTER -  PL'!I27&lt;&gt;0,
'5b. PRESUMPTIVE REGISTER -  PL'!G27&lt;&gt;0),
'5b. PRESUMPTIVE REGISTER -  PL'!I27-'5b. PRESUMPTIVE REGISTER -  PL'!G27, "-")</f>
        <v>-</v>
      </c>
      <c r="T114" s="437" t="str">
        <f>IF(AND('5b. PRESUMPTIVE REGISTER -  PL'!I27&lt;&gt;0,
'5b. PRESUMPTIVE REGISTER -  PL'!G27&lt;&gt;0),
'5b. PRESUMPTIVE REGISTER -  PL'!I27-'5b. PRESUMPTIVE REGISTER -  PL'!G27, "-")</f>
        <v>-</v>
      </c>
    </row>
    <row r="115" spans="2:20" customFormat="1" ht="27" customHeight="1" x14ac:dyDescent="0.3">
      <c r="B115" s="111"/>
      <c r="C115" s="112"/>
      <c r="D115" s="112"/>
      <c r="E115" s="112"/>
      <c r="F115" s="112"/>
      <c r="G115" s="112"/>
      <c r="H115" s="112"/>
      <c r="I115" s="112"/>
      <c r="J115" s="112"/>
      <c r="K115" s="112"/>
      <c r="L115" s="112"/>
      <c r="M115" s="112"/>
      <c r="N115" s="421" t="s">
        <v>42</v>
      </c>
      <c r="O115" s="449" t="str">
        <f>IF(AND('5b. PRESUMPTIVE REGISTER -  PL'!C28 ='3.2 TAT ANALYSIS'!$O$100,
'5b. PRESUMPTIVE REGISTER -  PL'!I28&lt;&gt;0,
'5b. PRESUMPTIVE REGISTER -  PL'!G28&lt;&gt;0),
'5b. PRESUMPTIVE REGISTER -  PL'!I28-'5b. PRESUMPTIVE REGISTER -  PL'!G28, "-")</f>
        <v>-</v>
      </c>
      <c r="P115" s="430" t="str">
        <f>IF(AND('5b. PRESUMPTIVE REGISTER -  PL'!C28 = '3.2 TAT ANALYSIS'!$P$100,
'5b. PRESUMPTIVE REGISTER -  PL'!I28&lt;&gt;0,
'5b. PRESUMPTIVE REGISTER -  PL'!G28&lt;&gt;0),
'5b. PRESUMPTIVE REGISTER -  PL'!I28-'5b. PRESUMPTIVE REGISTER -  PL'!G28, "-")</f>
        <v>-</v>
      </c>
      <c r="Q115" s="430" t="str">
        <f>IF(AND('5b. PRESUMPTIVE REGISTER -  PL'!C28 = '3.2 TAT ANALYSIS'!$Q$100,
'5b. PRESUMPTIVE REGISTER -  PL'!I28&lt;&gt;0,
'5b. PRESUMPTIVE REGISTER -  PL'!G28&lt;&gt;0),
'5b. PRESUMPTIVE REGISTER -  PL'!I28-'5b. PRESUMPTIVE REGISTER -  PL'!G28, "-")</f>
        <v>-</v>
      </c>
      <c r="R115" s="430" t="str">
        <f>IF(AND('5b. PRESUMPTIVE REGISTER -  PL'!C28 = '3.2 TAT ANALYSIS'!$R$100,
'5b. PRESUMPTIVE REGISTER -  PL'!I28&lt;&gt;0,
'5b. PRESUMPTIVE REGISTER -  PL'!G28&lt;&gt;0),
'5b. PRESUMPTIVE REGISTER -  PL'!I28-'5b. PRESUMPTIVE REGISTER -  PL'!G28, "-")</f>
        <v>-</v>
      </c>
      <c r="S115" s="430" t="str">
        <f>IF(AND('5b. PRESUMPTIVE REGISTER -  PL'!C28 = '3.2 TAT ANALYSIS'!$S$100,
'5b. PRESUMPTIVE REGISTER -  PL'!I28&lt;&gt;0,
'5b. PRESUMPTIVE REGISTER -  PL'!G28&lt;&gt;0),
'5b. PRESUMPTIVE REGISTER -  PL'!I28-'5b. PRESUMPTIVE REGISTER -  PL'!G28, "-")</f>
        <v>-</v>
      </c>
      <c r="T115" s="437" t="str">
        <f>IF(AND('5b. PRESUMPTIVE REGISTER -  PL'!I28&lt;&gt;0,
'5b. PRESUMPTIVE REGISTER -  PL'!G28&lt;&gt;0),
'5b. PRESUMPTIVE REGISTER -  PL'!I28-'5b. PRESUMPTIVE REGISTER -  PL'!G28, "-")</f>
        <v>-</v>
      </c>
    </row>
    <row r="116" spans="2:20" customFormat="1" ht="27" customHeight="1" x14ac:dyDescent="0.3">
      <c r="B116" s="111"/>
      <c r="C116" s="112"/>
      <c r="D116" s="112"/>
      <c r="E116" s="112"/>
      <c r="F116" s="112"/>
      <c r="G116" s="112"/>
      <c r="H116" s="112"/>
      <c r="I116" s="112"/>
      <c r="J116" s="112"/>
      <c r="K116" s="112"/>
      <c r="L116" s="112"/>
      <c r="M116" s="112"/>
      <c r="N116" s="421" t="s">
        <v>43</v>
      </c>
      <c r="O116" s="449" t="str">
        <f>IF(AND('5b. PRESUMPTIVE REGISTER -  PL'!C29 ='3.2 TAT ANALYSIS'!$O$100,
'5b. PRESUMPTIVE REGISTER -  PL'!I29&lt;&gt;0,
'5b. PRESUMPTIVE REGISTER -  PL'!G29&lt;&gt;0),
'5b. PRESUMPTIVE REGISTER -  PL'!I29-'5b. PRESUMPTIVE REGISTER -  PL'!G29, "-")</f>
        <v>-</v>
      </c>
      <c r="P116" s="430" t="str">
        <f>IF(AND('5b. PRESUMPTIVE REGISTER -  PL'!C29 = '3.2 TAT ANALYSIS'!$P$100,
'5b. PRESUMPTIVE REGISTER -  PL'!I29&lt;&gt;0,
'5b. PRESUMPTIVE REGISTER -  PL'!G29&lt;&gt;0),
'5b. PRESUMPTIVE REGISTER -  PL'!I29-'5b. PRESUMPTIVE REGISTER -  PL'!G29, "-")</f>
        <v>-</v>
      </c>
      <c r="Q116" s="430" t="str">
        <f>IF(AND('5b. PRESUMPTIVE REGISTER -  PL'!C29 = '3.2 TAT ANALYSIS'!$Q$100,
'5b. PRESUMPTIVE REGISTER -  PL'!I29&lt;&gt;0,
'5b. PRESUMPTIVE REGISTER -  PL'!G29&lt;&gt;0),
'5b. PRESUMPTIVE REGISTER -  PL'!I29-'5b. PRESUMPTIVE REGISTER -  PL'!G29, "-")</f>
        <v>-</v>
      </c>
      <c r="R116" s="430" t="str">
        <f>IF(AND('5b. PRESUMPTIVE REGISTER -  PL'!C29 = '3.2 TAT ANALYSIS'!$R$100,
'5b. PRESUMPTIVE REGISTER -  PL'!I29&lt;&gt;0,
'5b. PRESUMPTIVE REGISTER -  PL'!G29&lt;&gt;0),
'5b. PRESUMPTIVE REGISTER -  PL'!I29-'5b. PRESUMPTIVE REGISTER -  PL'!G29, "-")</f>
        <v>-</v>
      </c>
      <c r="S116" s="430" t="str">
        <f>IF(AND('5b. PRESUMPTIVE REGISTER -  PL'!C29 = '3.2 TAT ANALYSIS'!$S$100,
'5b. PRESUMPTIVE REGISTER -  PL'!I29&lt;&gt;0,
'5b. PRESUMPTIVE REGISTER -  PL'!G29&lt;&gt;0),
'5b. PRESUMPTIVE REGISTER -  PL'!I29-'5b. PRESUMPTIVE REGISTER -  PL'!G29, "-")</f>
        <v>-</v>
      </c>
      <c r="T116" s="437" t="str">
        <f>IF(AND('5b. PRESUMPTIVE REGISTER -  PL'!I29&lt;&gt;0,
'5b. PRESUMPTIVE REGISTER -  PL'!G29&lt;&gt;0),
'5b. PRESUMPTIVE REGISTER -  PL'!I29-'5b. PRESUMPTIVE REGISTER -  PL'!G29, "-")</f>
        <v>-</v>
      </c>
    </row>
    <row r="117" spans="2:20" customFormat="1" ht="27" customHeight="1" x14ac:dyDescent="0.3">
      <c r="B117" s="111"/>
      <c r="C117" s="112"/>
      <c r="D117" s="112"/>
      <c r="E117" s="112"/>
      <c r="F117" s="112"/>
      <c r="G117" s="112"/>
      <c r="H117" s="112"/>
      <c r="I117" s="112"/>
      <c r="J117" s="112"/>
      <c r="K117" s="112"/>
      <c r="L117" s="112"/>
      <c r="M117" s="112"/>
      <c r="N117" s="421" t="s">
        <v>44</v>
      </c>
      <c r="O117" s="449" t="str">
        <f>IF(AND('5b. PRESUMPTIVE REGISTER -  PL'!C30 ='3.2 TAT ANALYSIS'!$O$100,
'5b. PRESUMPTIVE REGISTER -  PL'!I30&lt;&gt;0,
'5b. PRESUMPTIVE REGISTER -  PL'!G30&lt;&gt;0),
'5b. PRESUMPTIVE REGISTER -  PL'!I30-'5b. PRESUMPTIVE REGISTER -  PL'!G30, "-")</f>
        <v>-</v>
      </c>
      <c r="P117" s="430" t="str">
        <f>IF(AND('5b. PRESUMPTIVE REGISTER -  PL'!C30 = '3.2 TAT ANALYSIS'!$P$100,
'5b. PRESUMPTIVE REGISTER -  PL'!I30&lt;&gt;0,
'5b. PRESUMPTIVE REGISTER -  PL'!G30&lt;&gt;0),
'5b. PRESUMPTIVE REGISTER -  PL'!I30-'5b. PRESUMPTIVE REGISTER -  PL'!G30, "-")</f>
        <v>-</v>
      </c>
      <c r="Q117" s="430" t="str">
        <f>IF(AND('5b. PRESUMPTIVE REGISTER -  PL'!C30 = '3.2 TAT ANALYSIS'!$Q$100,
'5b. PRESUMPTIVE REGISTER -  PL'!I30&lt;&gt;0,
'5b. PRESUMPTIVE REGISTER -  PL'!G30&lt;&gt;0),
'5b. PRESUMPTIVE REGISTER -  PL'!I30-'5b. PRESUMPTIVE REGISTER -  PL'!G30, "-")</f>
        <v>-</v>
      </c>
      <c r="R117" s="430" t="str">
        <f>IF(AND('5b. PRESUMPTIVE REGISTER -  PL'!C30 = '3.2 TAT ANALYSIS'!$R$100,
'5b. PRESUMPTIVE REGISTER -  PL'!I30&lt;&gt;0,
'5b. PRESUMPTIVE REGISTER -  PL'!G30&lt;&gt;0),
'5b. PRESUMPTIVE REGISTER -  PL'!I30-'5b. PRESUMPTIVE REGISTER -  PL'!G30, "-")</f>
        <v>-</v>
      </c>
      <c r="S117" s="430" t="str">
        <f>IF(AND('5b. PRESUMPTIVE REGISTER -  PL'!C30 = '3.2 TAT ANALYSIS'!$S$100,
'5b. PRESUMPTIVE REGISTER -  PL'!I30&lt;&gt;0,
'5b. PRESUMPTIVE REGISTER -  PL'!G30&lt;&gt;0),
'5b. PRESUMPTIVE REGISTER -  PL'!I30-'5b. PRESUMPTIVE REGISTER -  PL'!G30, "-")</f>
        <v>-</v>
      </c>
      <c r="T117" s="437" t="str">
        <f>IF(AND('5b. PRESUMPTIVE REGISTER -  PL'!I30&lt;&gt;0,
'5b. PRESUMPTIVE REGISTER -  PL'!G30&lt;&gt;0),
'5b. PRESUMPTIVE REGISTER -  PL'!I30-'5b. PRESUMPTIVE REGISTER -  PL'!G30, "-")</f>
        <v>-</v>
      </c>
    </row>
    <row r="118" spans="2:20" customFormat="1" ht="27" customHeight="1" x14ac:dyDescent="0.3">
      <c r="B118" s="111"/>
      <c r="C118" s="112"/>
      <c r="D118" s="112"/>
      <c r="E118" s="112"/>
      <c r="F118" s="112"/>
      <c r="G118" s="112"/>
      <c r="H118" s="112"/>
      <c r="I118" s="112"/>
      <c r="J118" s="112"/>
      <c r="K118" s="112"/>
      <c r="L118" s="112"/>
      <c r="M118" s="112"/>
      <c r="N118" s="421" t="s">
        <v>45</v>
      </c>
      <c r="O118" s="449" t="str">
        <f>IF(AND('5b. PRESUMPTIVE REGISTER -  PL'!C31 ='3.2 TAT ANALYSIS'!$O$100,
'5b. PRESUMPTIVE REGISTER -  PL'!I31&lt;&gt;0,
'5b. PRESUMPTIVE REGISTER -  PL'!G31&lt;&gt;0),
'5b. PRESUMPTIVE REGISTER -  PL'!I31-'5b. PRESUMPTIVE REGISTER -  PL'!G31, "-")</f>
        <v>-</v>
      </c>
      <c r="P118" s="430" t="str">
        <f>IF(AND('5b. PRESUMPTIVE REGISTER -  PL'!C31 = '3.2 TAT ANALYSIS'!$P$100,
'5b. PRESUMPTIVE REGISTER -  PL'!I31&lt;&gt;0,
'5b. PRESUMPTIVE REGISTER -  PL'!G31&lt;&gt;0),
'5b. PRESUMPTIVE REGISTER -  PL'!I31-'5b. PRESUMPTIVE REGISTER -  PL'!G31, "-")</f>
        <v>-</v>
      </c>
      <c r="Q118" s="430" t="str">
        <f>IF(AND('5b. PRESUMPTIVE REGISTER -  PL'!C31 = '3.2 TAT ANALYSIS'!$Q$100,
'5b. PRESUMPTIVE REGISTER -  PL'!I31&lt;&gt;0,
'5b. PRESUMPTIVE REGISTER -  PL'!G31&lt;&gt;0),
'5b. PRESUMPTIVE REGISTER -  PL'!I31-'5b. PRESUMPTIVE REGISTER -  PL'!G31, "-")</f>
        <v>-</v>
      </c>
      <c r="R118" s="430" t="str">
        <f>IF(AND('5b. PRESUMPTIVE REGISTER -  PL'!C31 = '3.2 TAT ANALYSIS'!$R$100,
'5b. PRESUMPTIVE REGISTER -  PL'!I31&lt;&gt;0,
'5b. PRESUMPTIVE REGISTER -  PL'!G31&lt;&gt;0),
'5b. PRESUMPTIVE REGISTER -  PL'!I31-'5b. PRESUMPTIVE REGISTER -  PL'!G31, "-")</f>
        <v>-</v>
      </c>
      <c r="S118" s="430" t="str">
        <f>IF(AND('5b. PRESUMPTIVE REGISTER -  PL'!C31 = '3.2 TAT ANALYSIS'!$S$100,
'5b. PRESUMPTIVE REGISTER -  PL'!I31&lt;&gt;0,
'5b. PRESUMPTIVE REGISTER -  PL'!G31&lt;&gt;0),
'5b. PRESUMPTIVE REGISTER -  PL'!I31-'5b. PRESUMPTIVE REGISTER -  PL'!G31, "-")</f>
        <v>-</v>
      </c>
      <c r="T118" s="437" t="str">
        <f>IF(AND('5b. PRESUMPTIVE REGISTER -  PL'!I31&lt;&gt;0,
'5b. PRESUMPTIVE REGISTER -  PL'!G31&lt;&gt;0),
'5b. PRESUMPTIVE REGISTER -  PL'!I31-'5b. PRESUMPTIVE REGISTER -  PL'!G31, "-")</f>
        <v>-</v>
      </c>
    </row>
    <row r="119" spans="2:20" customFormat="1" ht="27" customHeight="1" x14ac:dyDescent="0.3">
      <c r="B119" s="111"/>
      <c r="C119" s="112"/>
      <c r="D119" s="112"/>
      <c r="E119" s="112"/>
      <c r="F119" s="112"/>
      <c r="G119" s="112"/>
      <c r="H119" s="112"/>
      <c r="I119" s="112"/>
      <c r="J119" s="112"/>
      <c r="K119" s="112"/>
      <c r="L119" s="112"/>
      <c r="M119" s="112"/>
      <c r="N119" s="421" t="s">
        <v>46</v>
      </c>
      <c r="O119" s="449" t="str">
        <f>IF(AND('5b. PRESUMPTIVE REGISTER -  PL'!C32 ='3.2 TAT ANALYSIS'!$O$100,
'5b. PRESUMPTIVE REGISTER -  PL'!I32&lt;&gt;0,
'5b. PRESUMPTIVE REGISTER -  PL'!G32&lt;&gt;0),
'5b. PRESUMPTIVE REGISTER -  PL'!I32-'5b. PRESUMPTIVE REGISTER -  PL'!G32, "-")</f>
        <v>-</v>
      </c>
      <c r="P119" s="430" t="str">
        <f>IF(AND('5b. PRESUMPTIVE REGISTER -  PL'!C32 = '3.2 TAT ANALYSIS'!$P$100,
'5b. PRESUMPTIVE REGISTER -  PL'!I32&lt;&gt;0,
'5b. PRESUMPTIVE REGISTER -  PL'!G32&lt;&gt;0),
'5b. PRESUMPTIVE REGISTER -  PL'!I32-'5b. PRESUMPTIVE REGISTER -  PL'!G32, "-")</f>
        <v>-</v>
      </c>
      <c r="Q119" s="430" t="str">
        <f>IF(AND('5b. PRESUMPTIVE REGISTER -  PL'!C32 = '3.2 TAT ANALYSIS'!$Q$100,
'5b. PRESUMPTIVE REGISTER -  PL'!I32&lt;&gt;0,
'5b. PRESUMPTIVE REGISTER -  PL'!G32&lt;&gt;0),
'5b. PRESUMPTIVE REGISTER -  PL'!I32-'5b. PRESUMPTIVE REGISTER -  PL'!G32, "-")</f>
        <v>-</v>
      </c>
      <c r="R119" s="430" t="str">
        <f>IF(AND('5b. PRESUMPTIVE REGISTER -  PL'!C32 = '3.2 TAT ANALYSIS'!$R$100,
'5b. PRESUMPTIVE REGISTER -  PL'!I32&lt;&gt;0,
'5b. PRESUMPTIVE REGISTER -  PL'!G32&lt;&gt;0),
'5b. PRESUMPTIVE REGISTER -  PL'!I32-'5b. PRESUMPTIVE REGISTER -  PL'!G32, "-")</f>
        <v>-</v>
      </c>
      <c r="S119" s="430" t="str">
        <f>IF(AND('5b. PRESUMPTIVE REGISTER -  PL'!C32 = '3.2 TAT ANALYSIS'!$S$100,
'5b. PRESUMPTIVE REGISTER -  PL'!I32&lt;&gt;0,
'5b. PRESUMPTIVE REGISTER -  PL'!G32&lt;&gt;0),
'5b. PRESUMPTIVE REGISTER -  PL'!I32-'5b. PRESUMPTIVE REGISTER -  PL'!G32, "-")</f>
        <v>-</v>
      </c>
      <c r="T119" s="437" t="str">
        <f>IF(AND('5b. PRESUMPTIVE REGISTER -  PL'!I32&lt;&gt;0,
'5b. PRESUMPTIVE REGISTER -  PL'!G32&lt;&gt;0),
'5b. PRESUMPTIVE REGISTER -  PL'!I32-'5b. PRESUMPTIVE REGISTER -  PL'!G32, "-")</f>
        <v>-</v>
      </c>
    </row>
    <row r="120" spans="2:20" customFormat="1" ht="27" customHeight="1" x14ac:dyDescent="0.3">
      <c r="B120" s="111"/>
      <c r="C120" s="112"/>
      <c r="D120" s="112"/>
      <c r="E120" s="112"/>
      <c r="F120" s="112"/>
      <c r="G120" s="112"/>
      <c r="H120" s="112"/>
      <c r="I120" s="112"/>
      <c r="J120" s="112"/>
      <c r="K120" s="112"/>
      <c r="L120" s="112"/>
      <c r="M120" s="112"/>
      <c r="N120" s="421" t="s">
        <v>47</v>
      </c>
      <c r="O120" s="449" t="str">
        <f>IF(AND('5b. PRESUMPTIVE REGISTER -  PL'!C33 ='3.2 TAT ANALYSIS'!$O$100,
'5b. PRESUMPTIVE REGISTER -  PL'!I33&lt;&gt;0,
'5b. PRESUMPTIVE REGISTER -  PL'!G33&lt;&gt;0),
'5b. PRESUMPTIVE REGISTER -  PL'!I33-'5b. PRESUMPTIVE REGISTER -  PL'!G33, "-")</f>
        <v>-</v>
      </c>
      <c r="P120" s="430" t="str">
        <f>IF(AND('5b. PRESUMPTIVE REGISTER -  PL'!C33 = '3.2 TAT ANALYSIS'!$P$100,
'5b. PRESUMPTIVE REGISTER -  PL'!I33&lt;&gt;0,
'5b. PRESUMPTIVE REGISTER -  PL'!G33&lt;&gt;0),
'5b. PRESUMPTIVE REGISTER -  PL'!I33-'5b. PRESUMPTIVE REGISTER -  PL'!G33, "-")</f>
        <v>-</v>
      </c>
      <c r="Q120" s="430" t="str">
        <f>IF(AND('5b. PRESUMPTIVE REGISTER -  PL'!C33 = '3.2 TAT ANALYSIS'!$Q$100,
'5b. PRESUMPTIVE REGISTER -  PL'!I33&lt;&gt;0,
'5b. PRESUMPTIVE REGISTER -  PL'!G33&lt;&gt;0),
'5b. PRESUMPTIVE REGISTER -  PL'!I33-'5b. PRESUMPTIVE REGISTER -  PL'!G33, "-")</f>
        <v>-</v>
      </c>
      <c r="R120" s="430" t="str">
        <f>IF(AND('5b. PRESUMPTIVE REGISTER -  PL'!C33 = '3.2 TAT ANALYSIS'!$R$100,
'5b. PRESUMPTIVE REGISTER -  PL'!I33&lt;&gt;0,
'5b. PRESUMPTIVE REGISTER -  PL'!G33&lt;&gt;0),
'5b. PRESUMPTIVE REGISTER -  PL'!I33-'5b. PRESUMPTIVE REGISTER -  PL'!G33, "-")</f>
        <v>-</v>
      </c>
      <c r="S120" s="430" t="str">
        <f>IF(AND('5b. PRESUMPTIVE REGISTER -  PL'!C33 = '3.2 TAT ANALYSIS'!$S$100,
'5b. PRESUMPTIVE REGISTER -  PL'!I33&lt;&gt;0,
'5b. PRESUMPTIVE REGISTER -  PL'!G33&lt;&gt;0),
'5b. PRESUMPTIVE REGISTER -  PL'!I33-'5b. PRESUMPTIVE REGISTER -  PL'!G33, "-")</f>
        <v>-</v>
      </c>
      <c r="T120" s="437" t="str">
        <f>IF(AND('5b. PRESUMPTIVE REGISTER -  PL'!I33&lt;&gt;0,
'5b. PRESUMPTIVE REGISTER -  PL'!G33&lt;&gt;0),
'5b. PRESUMPTIVE REGISTER -  PL'!I33-'5b. PRESUMPTIVE REGISTER -  PL'!G33, "-")</f>
        <v>-</v>
      </c>
    </row>
    <row r="121" spans="2:20" customFormat="1" ht="27" customHeight="1" thickBot="1" x14ac:dyDescent="0.35">
      <c r="B121" s="450"/>
      <c r="C121" s="451"/>
      <c r="D121" s="451"/>
      <c r="E121" s="451"/>
      <c r="F121" s="451"/>
      <c r="G121" s="451"/>
      <c r="H121" s="451"/>
      <c r="I121" s="451"/>
      <c r="J121" s="451"/>
      <c r="K121" s="451"/>
      <c r="L121" s="451"/>
      <c r="M121" s="451"/>
      <c r="N121" s="447" t="s">
        <v>92</v>
      </c>
      <c r="O121" s="506" t="str">
        <f>IF(ISNUMBER(AVERAGE('3.2 TAT ANALYSIS'!$O$101:$O$120)), SUMIF(O101:O120,"&gt;-1")/O$122, "NA")</f>
        <v>NA</v>
      </c>
      <c r="P121" s="506" t="str">
        <f>IF(ISNUMBER(AVERAGE('3.2 TAT ANALYSIS'!$P$101:$P$120)), SUMIF(P101:P120,"&gt;-1")/P$122, "NA")</f>
        <v>NA</v>
      </c>
      <c r="Q121" s="506" t="str">
        <f>IF(ISNUMBER(AVERAGE('3.2 TAT ANALYSIS'!$Q$101:$Q$120)), SUMIF(Q101:Q120,"&gt;-1")/Q$122, "NA")</f>
        <v>NA</v>
      </c>
      <c r="R121" s="506" t="str">
        <f>IF(ISNUMBER(AVERAGE('3.2 TAT ANALYSIS'!$R$101:$R$120)), SUMIF(R101:R120,"&gt;-1")/R$122, "NA")</f>
        <v>NA</v>
      </c>
      <c r="S121" s="506" t="str">
        <f>IF(ISNUMBER(AVERAGE('3.2 TAT ANALYSIS'!$S$101:$S$120)), SUMIF(S101:S120,"&gt;-1")/S$122, "NA")</f>
        <v>NA</v>
      </c>
      <c r="T121" s="507" t="str">
        <f>IF(ISNUMBER(AVERAGE('3.2 TAT ANALYSIS'!$T$101:$T$120)), SUMIF(T101:T120,"&gt;-1")/T$122, "NA")</f>
        <v>NA</v>
      </c>
    </row>
    <row r="122" spans="2:20" customFormat="1" ht="18.600000000000001" hidden="1" customHeight="1" x14ac:dyDescent="0.3">
      <c r="N122" s="490" t="s">
        <v>330</v>
      </c>
      <c r="O122" s="488">
        <f>COUNTIF(O101:O120, "&lt;&gt;-")</f>
        <v>0</v>
      </c>
      <c r="P122" s="488">
        <f t="shared" ref="P122:Q122" si="2">COUNTIF(P101:P120, "&lt;&gt;-")</f>
        <v>0</v>
      </c>
      <c r="Q122" s="488">
        <f t="shared" si="2"/>
        <v>0</v>
      </c>
      <c r="R122" s="488">
        <f>COUNTIF(R101:R120, "&lt;&gt;-")</f>
        <v>0</v>
      </c>
      <c r="S122" s="488">
        <f t="shared" ref="S122" si="3">COUNTIF(S101:S120, "&lt;&gt;-")</f>
        <v>0</v>
      </c>
      <c r="T122" s="488">
        <f>COUNTIF(T101:T120, "&lt;&gt;-")</f>
        <v>0</v>
      </c>
    </row>
    <row r="123" spans="2:20" customFormat="1" ht="18.600000000000001" hidden="1" customHeight="1" x14ac:dyDescent="0.3">
      <c r="N123" s="454" t="s">
        <v>312</v>
      </c>
      <c r="O123" s="457">
        <f>MIN('3.2 TAT ANALYSIS'!$O$101:$O$120)</f>
        <v>0</v>
      </c>
      <c r="P123" s="457">
        <f>MIN('3.2 TAT ANALYSIS'!$P$101:$P$120)</f>
        <v>0</v>
      </c>
      <c r="Q123" s="457">
        <f>MIN('3.2 TAT ANALYSIS'!$Q$101:$Q$120)</f>
        <v>0</v>
      </c>
      <c r="R123" s="457">
        <f>MIN('3.2 TAT ANALYSIS'!$R$101:$R$120)</f>
        <v>0</v>
      </c>
      <c r="S123" s="457">
        <f>MIN('3.2 TAT ANALYSIS'!$S$101:$S$120)</f>
        <v>0</v>
      </c>
      <c r="T123" s="457">
        <f>MIN('3.2 TAT ANALYSIS'!$T$101:$T$120)</f>
        <v>0</v>
      </c>
    </row>
    <row r="124" spans="2:20" customFormat="1" ht="18.600000000000001" hidden="1" customHeight="1" x14ac:dyDescent="0.3">
      <c r="N124" s="37" t="s">
        <v>313</v>
      </c>
      <c r="O124" s="457" t="e">
        <f>AVERAGE('3.2 TAT ANALYSIS'!$O$101:$O$120)</f>
        <v>#DIV/0!</v>
      </c>
      <c r="P124" s="457" t="e">
        <f>AVERAGE('3.2 TAT ANALYSIS'!$P$101:$P$120)</f>
        <v>#DIV/0!</v>
      </c>
      <c r="Q124" s="457" t="e">
        <f>AVERAGE('3.2 TAT ANALYSIS'!$Q$101:$Q$120)</f>
        <v>#DIV/0!</v>
      </c>
      <c r="R124" s="457" t="e">
        <f>AVERAGE('3.2 TAT ANALYSIS'!$R$101:$R$120)</f>
        <v>#DIV/0!</v>
      </c>
      <c r="S124" s="457" t="e">
        <f>AVERAGE('3.2 TAT ANALYSIS'!$S$101:$S$120)</f>
        <v>#DIV/0!</v>
      </c>
      <c r="T124" s="457" t="e">
        <f>AVERAGE('3.2 TAT ANALYSIS'!$T$101:$T$120)</f>
        <v>#DIV/0!</v>
      </c>
    </row>
    <row r="125" spans="2:20" customFormat="1" ht="18.600000000000001" hidden="1" customHeight="1" x14ac:dyDescent="0.3">
      <c r="N125" s="37" t="s">
        <v>314</v>
      </c>
      <c r="O125" s="457">
        <f>MAX('3.2 TAT ANALYSIS'!$O$101:$O$120)</f>
        <v>0</v>
      </c>
      <c r="P125" s="457">
        <f>MAX('3.2 TAT ANALYSIS'!$P$101:$P$120)</f>
        <v>0</v>
      </c>
      <c r="Q125" s="457">
        <f>MAX('3.2 TAT ANALYSIS'!$Q$101:$Q$120)</f>
        <v>0</v>
      </c>
      <c r="R125" s="457">
        <f>MAX('3.2 TAT ANALYSIS'!$R$101:$R$120)</f>
        <v>0</v>
      </c>
      <c r="S125" s="457">
        <f>MAX('3.2 TAT ANALYSIS'!$S$101:$S$120)</f>
        <v>0</v>
      </c>
      <c r="T125" s="457">
        <f>MAX('3.2 TAT ANALYSIS'!$T$101:$T$120)</f>
        <v>0</v>
      </c>
    </row>
    <row r="126" spans="2:20" customFormat="1" ht="18.600000000000001" hidden="1" customHeight="1" x14ac:dyDescent="0.3">
      <c r="N126" s="37" t="s">
        <v>317</v>
      </c>
      <c r="O126" s="457">
        <f>IF(O121&lt;&gt;"NA", 3, VALUE("-1"))</f>
        <v>-1</v>
      </c>
      <c r="P126" s="457">
        <f>IF(P121&lt;&gt;"NA", 2.5, VALUE("-1"))</f>
        <v>-1</v>
      </c>
      <c r="Q126" s="457">
        <f>IF(Q121&lt;&gt;"NA", 2, VALUE("-1"))</f>
        <v>-1</v>
      </c>
      <c r="R126" s="457">
        <f>IF(R121&lt;&gt;"NA", 1.5, VALUE("-1"))</f>
        <v>-1</v>
      </c>
      <c r="S126" s="457">
        <f>IF(S121&lt;&gt;"NA", 1, VALUE("-1"))</f>
        <v>-1</v>
      </c>
      <c r="T126" s="457">
        <v>0.5</v>
      </c>
    </row>
    <row r="127" spans="2:20" customFormat="1" ht="18.600000000000001" hidden="1" customHeight="1" x14ac:dyDescent="0.3">
      <c r="N127" s="37" t="s">
        <v>318</v>
      </c>
      <c r="O127" s="457">
        <f>IF(O121&lt;&gt;"NA", 3, VALUE("-1"))</f>
        <v>-1</v>
      </c>
      <c r="P127" s="457">
        <f>IF(P121&lt;&gt;"NA", 2.5, VALUE("-1"))</f>
        <v>-1</v>
      </c>
      <c r="Q127" s="457">
        <f>IF(Q121&lt;&gt;"NA", 2, VALUE("-1"))</f>
        <v>-1</v>
      </c>
      <c r="R127" s="457">
        <f>IF(R121&lt;&gt;"NA", 1.5, VALUE("-1"))</f>
        <v>-1</v>
      </c>
      <c r="S127" s="457">
        <f>IF(S121&lt;&gt;"NA", 1, VALUE("-1"))</f>
        <v>-1</v>
      </c>
      <c r="T127" s="457">
        <v>0.5</v>
      </c>
    </row>
    <row r="128" spans="2:20" customFormat="1" ht="18.600000000000001" hidden="1" customHeight="1" x14ac:dyDescent="0.3">
      <c r="N128" s="37" t="s">
        <v>319</v>
      </c>
      <c r="O128" s="457">
        <f>IF(O121&lt;&gt;"NA", 3, VALUE("-1"))</f>
        <v>-1</v>
      </c>
      <c r="P128" s="457">
        <f>IF(P121&lt;&gt;"NA", 2.5, VALUE("-1"))</f>
        <v>-1</v>
      </c>
      <c r="Q128" s="457">
        <f>IF(Q121&lt;&gt;"NA", 2, VALUE("-1"))</f>
        <v>-1</v>
      </c>
      <c r="R128" s="457">
        <f>IF(R121&lt;&gt;"NA", 1.5, VALUE("-1"))</f>
        <v>-1</v>
      </c>
      <c r="S128" s="457">
        <f>IF(S121&lt;&gt;"NA", 1, VALUE("-1"))</f>
        <v>-1</v>
      </c>
      <c r="T128" s="457">
        <v>0.5</v>
      </c>
    </row>
    <row r="129" spans="2:20" customFormat="1" ht="18.600000000000001" customHeight="1" thickBot="1" x14ac:dyDescent="0.35"/>
    <row r="130" spans="2:20" customFormat="1" ht="42.6" customHeight="1" x14ac:dyDescent="0.3">
      <c r="B130" s="691" t="s">
        <v>310</v>
      </c>
      <c r="C130" s="692"/>
      <c r="D130" s="692"/>
      <c r="E130" s="692"/>
      <c r="F130" s="692"/>
      <c r="G130" s="692"/>
      <c r="H130" s="692"/>
      <c r="I130" s="692"/>
      <c r="J130" s="692"/>
      <c r="K130" s="692"/>
      <c r="L130" s="692"/>
      <c r="M130" s="692"/>
      <c r="N130" s="692"/>
      <c r="O130" s="692"/>
      <c r="P130" s="692"/>
      <c r="Q130" s="692"/>
      <c r="R130" s="692"/>
      <c r="S130" s="692"/>
      <c r="T130" s="693"/>
    </row>
    <row r="131" spans="2:20" customFormat="1" ht="27.6" customHeight="1" x14ac:dyDescent="0.3">
      <c r="B131" s="111"/>
      <c r="C131" s="112"/>
      <c r="D131" s="112"/>
      <c r="E131" s="112"/>
      <c r="F131" s="112"/>
      <c r="G131" s="112"/>
      <c r="H131" s="112"/>
      <c r="I131" s="112"/>
      <c r="J131" s="112"/>
      <c r="K131" s="112"/>
      <c r="L131" s="112"/>
      <c r="M131" s="112"/>
      <c r="N131" s="283" t="s">
        <v>190</v>
      </c>
      <c r="O131" s="283" t="str">
        <f>IF('1. ASSESSMENT PROFILE'!D38&lt;&gt;"", '1. ASSESSMENT PROFILE'!D38,"")</f>
        <v/>
      </c>
      <c r="P131" s="283" t="str">
        <f>IF('1. ASSESSMENT PROFILE'!D39&lt;&gt;"", '1. ASSESSMENT PROFILE'!D39,"")</f>
        <v/>
      </c>
      <c r="Q131" s="283" t="str">
        <f>IF('1. ASSESSMENT PROFILE'!D40&lt;&gt;"", '1. ASSESSMENT PROFILE'!D40,"")</f>
        <v/>
      </c>
      <c r="R131" s="283" t="str">
        <f>IF('1. ASSESSMENT PROFILE'!D41&lt;&gt;"", '1. ASSESSMENT PROFILE'!D41,"")</f>
        <v/>
      </c>
      <c r="S131" s="423" t="str">
        <f>IF('1. ASSESSMENT PROFILE'!D42&lt;&gt;"", '1. ASSESSMENT PROFILE'!D42,"")</f>
        <v/>
      </c>
      <c r="T131" s="435" t="s">
        <v>306</v>
      </c>
    </row>
    <row r="132" spans="2:20" customFormat="1" ht="27.6" customHeight="1" x14ac:dyDescent="0.3">
      <c r="B132" s="111"/>
      <c r="C132" s="112"/>
      <c r="D132" s="112"/>
      <c r="E132" s="112"/>
      <c r="F132" s="112"/>
      <c r="G132" s="112"/>
      <c r="H132" s="112"/>
      <c r="I132" s="112"/>
      <c r="J132" s="112"/>
      <c r="K132" s="112"/>
      <c r="L132" s="112"/>
      <c r="M132" s="112"/>
      <c r="N132" s="419" t="s">
        <v>9</v>
      </c>
      <c r="O132" s="449" t="str">
        <f>IF(AND('5b. PRESUMPTIVE REGISTER -  PL'!C14 = '3.2 TAT ANALYSIS'!$O$131,
'7b. TB TX REGISTER - PL'!G8&lt;&gt;0,
'5b. PRESUMPTIVE REGISTER -  PL'!G14&lt;&gt;0),
'7b. TB TX REGISTER - PL'!G8 - '5b. PRESUMPTIVE REGISTER -  PL'!G14,"-")</f>
        <v>-</v>
      </c>
      <c r="P132" s="430" t="str">
        <f>IF(AND('5b. PRESUMPTIVE REGISTER -  PL'!C14 = '3.2 TAT ANALYSIS'!$P$131,
'7b. TB TX REGISTER - PL'!G8&lt;&gt;0,
'5b. PRESUMPTIVE REGISTER -  PL'!G14&lt;&gt;0),
'7b. TB TX REGISTER - PL'!G8 - '5b. PRESUMPTIVE REGISTER -  PL'!G14,"-")</f>
        <v>-</v>
      </c>
      <c r="Q132" s="430" t="str">
        <f>IF(AND('5b. PRESUMPTIVE REGISTER -  PL'!C14 = '3.2 TAT ANALYSIS'!$Q$131,
'7b. TB TX REGISTER - PL'!G8&lt;&gt;0,
'5b. PRESUMPTIVE REGISTER -  PL'!G14&lt;&gt;0),
'7b. TB TX REGISTER - PL'!G8 - '5b. PRESUMPTIVE REGISTER -  PL'!G14,"-")</f>
        <v>-</v>
      </c>
      <c r="R132" s="430" t="str">
        <f>IF(AND('5b. PRESUMPTIVE REGISTER -  PL'!C14 = '3.2 TAT ANALYSIS'!$R$131,
'7b. TB TX REGISTER - PL'!G8&lt;&gt;0,
'5b. PRESUMPTIVE REGISTER -  PL'!G14&lt;&gt;0),
'7b. TB TX REGISTER - PL'!G8 - '5b. PRESUMPTIVE REGISTER -  PL'!G14,"-")</f>
        <v>-</v>
      </c>
      <c r="S132" s="430" t="str">
        <f>IF(AND('5b. PRESUMPTIVE REGISTER -  PL'!C14 = '3.2 TAT ANALYSIS'!$Q$131,
'7b. TB TX REGISTER - PL'!G8&lt;&gt;0,
'5b. PRESUMPTIVE REGISTER -  PL'!G14&lt;&gt;0),
'7b. TB TX REGISTER - PL'!G8 - '5b. PRESUMPTIVE REGISTER -  PL'!G14,"-")</f>
        <v>-</v>
      </c>
      <c r="T132" s="437" t="str">
        <f>IF(AND('7b. TB TX REGISTER - PL'!G8&lt;&gt;0,
'5b. PRESUMPTIVE REGISTER -  PL'!G14&lt;&gt;0),
'7b. TB TX REGISTER - PL'!G8 - '5b. PRESUMPTIVE REGISTER -  PL'!G14,"-")</f>
        <v>-</v>
      </c>
    </row>
    <row r="133" spans="2:20" customFormat="1" ht="27.6" customHeight="1" x14ac:dyDescent="0.3">
      <c r="B133" s="111"/>
      <c r="C133" s="112"/>
      <c r="D133" s="112"/>
      <c r="E133" s="112"/>
      <c r="F133" s="112"/>
      <c r="G133" s="112"/>
      <c r="H133" s="112"/>
      <c r="I133" s="112"/>
      <c r="J133" s="112"/>
      <c r="K133" s="112"/>
      <c r="L133" s="112"/>
      <c r="M133" s="112"/>
      <c r="N133" s="421" t="s">
        <v>10</v>
      </c>
      <c r="O133" s="449" t="str">
        <f>IF(AND('5b. PRESUMPTIVE REGISTER -  PL'!C15 = '3.2 TAT ANALYSIS'!$O$131,
'7b. TB TX REGISTER - PL'!G9&lt;&gt;0,
'5b. PRESUMPTIVE REGISTER -  PL'!G15&lt;&gt;0),
'7b. TB TX REGISTER - PL'!G9 - '5b. PRESUMPTIVE REGISTER -  PL'!G15,"-")</f>
        <v>-</v>
      </c>
      <c r="P133" s="430" t="str">
        <f>IF(AND('5b. PRESUMPTIVE REGISTER -  PL'!C15 = '3.2 TAT ANALYSIS'!$P$131,
'7b. TB TX REGISTER - PL'!G9&lt;&gt;0,
'5b. PRESUMPTIVE REGISTER -  PL'!G15&lt;&gt;0),
'7b. TB TX REGISTER - PL'!G9 - '5b. PRESUMPTIVE REGISTER -  PL'!G15,"-")</f>
        <v>-</v>
      </c>
      <c r="Q133" s="430" t="str">
        <f>IF(AND('5b. PRESUMPTIVE REGISTER -  PL'!C15 = '3.2 TAT ANALYSIS'!$Q$131,
'7b. TB TX REGISTER - PL'!G9&lt;&gt;0,
'5b. PRESUMPTIVE REGISTER -  PL'!G15&lt;&gt;0),
'7b. TB TX REGISTER - PL'!G9 - '5b. PRESUMPTIVE REGISTER -  PL'!G15,"-")</f>
        <v>-</v>
      </c>
      <c r="R133" s="430" t="str">
        <f>IF(AND('5b. PRESUMPTIVE REGISTER -  PL'!C15 = '3.2 TAT ANALYSIS'!$R$131,
'7b. TB TX REGISTER - PL'!G9&lt;&gt;0,
'5b. PRESUMPTIVE REGISTER -  PL'!G15&lt;&gt;0),
'7b. TB TX REGISTER - PL'!G9 - '5b. PRESUMPTIVE REGISTER -  PL'!G15,"-")</f>
        <v>-</v>
      </c>
      <c r="S133" s="430" t="str">
        <f>IF(AND('5b. PRESUMPTIVE REGISTER -  PL'!C15 = '3.2 TAT ANALYSIS'!$Q$131,
'7b. TB TX REGISTER - PL'!G9&lt;&gt;0,
'5b. PRESUMPTIVE REGISTER -  PL'!G15&lt;&gt;0),
'7b. TB TX REGISTER - PL'!G9 - '5b. PRESUMPTIVE REGISTER -  PL'!G15,"-")</f>
        <v>-</v>
      </c>
      <c r="T133" s="437" t="str">
        <f>IF(AND('7b. TB TX REGISTER - PL'!G9&lt;&gt;0,
'5b. PRESUMPTIVE REGISTER -  PL'!G15&lt;&gt;0),
'7b. TB TX REGISTER - PL'!G9 - '5b. PRESUMPTIVE REGISTER -  PL'!G15,"-")</f>
        <v>-</v>
      </c>
    </row>
    <row r="134" spans="2:20" customFormat="1" ht="27.6" customHeight="1" x14ac:dyDescent="0.3">
      <c r="B134" s="111"/>
      <c r="C134" s="112"/>
      <c r="D134" s="112"/>
      <c r="E134" s="112"/>
      <c r="F134" s="112"/>
      <c r="G134" s="112"/>
      <c r="H134" s="112"/>
      <c r="I134" s="112"/>
      <c r="J134" s="112"/>
      <c r="K134" s="112"/>
      <c r="L134" s="112"/>
      <c r="M134" s="112"/>
      <c r="N134" s="419" t="s">
        <v>11</v>
      </c>
      <c r="O134" s="449" t="str">
        <f>IF(AND('5b. PRESUMPTIVE REGISTER -  PL'!C16 = '3.2 TAT ANALYSIS'!$O$131,
'7b. TB TX REGISTER - PL'!G10&lt;&gt;0,
'5b. PRESUMPTIVE REGISTER -  PL'!G16&lt;&gt;0),
'7b. TB TX REGISTER - PL'!G10 - '5b. PRESUMPTIVE REGISTER -  PL'!G16,"-")</f>
        <v>-</v>
      </c>
      <c r="P134" s="430" t="str">
        <f>IF(AND('5b. PRESUMPTIVE REGISTER -  PL'!C16 = '3.2 TAT ANALYSIS'!$P$131,
'7b. TB TX REGISTER - PL'!G10&lt;&gt;0,
'5b. PRESUMPTIVE REGISTER -  PL'!G16&lt;&gt;0),
'7b. TB TX REGISTER - PL'!G10 - '5b. PRESUMPTIVE REGISTER -  PL'!G16,"-")</f>
        <v>-</v>
      </c>
      <c r="Q134" s="430" t="str">
        <f>IF(AND('5b. PRESUMPTIVE REGISTER -  PL'!C16 = '3.2 TAT ANALYSIS'!$Q$131,
'7b. TB TX REGISTER - PL'!G10&lt;&gt;0,
'5b. PRESUMPTIVE REGISTER -  PL'!G16&lt;&gt;0),
'7b. TB TX REGISTER - PL'!G10 - '5b. PRESUMPTIVE REGISTER -  PL'!G16,"-")</f>
        <v>-</v>
      </c>
      <c r="R134" s="430" t="str">
        <f>IF(AND('5b. PRESUMPTIVE REGISTER -  PL'!C16 = '3.2 TAT ANALYSIS'!$R$131,
'7b. TB TX REGISTER - PL'!G10&lt;&gt;0,
'5b. PRESUMPTIVE REGISTER -  PL'!G16&lt;&gt;0),
'7b. TB TX REGISTER - PL'!G10 - '5b. PRESUMPTIVE REGISTER -  PL'!G16,"-")</f>
        <v>-</v>
      </c>
      <c r="S134" s="430" t="str">
        <f>IF(AND('5b. PRESUMPTIVE REGISTER -  PL'!C16 = '3.2 TAT ANALYSIS'!$Q$131,
'7b. TB TX REGISTER - PL'!G10&lt;&gt;0,
'5b. PRESUMPTIVE REGISTER -  PL'!G16&lt;&gt;0),
'7b. TB TX REGISTER - PL'!G10 - '5b. PRESUMPTIVE REGISTER -  PL'!G16,"-")</f>
        <v>-</v>
      </c>
      <c r="T134" s="437" t="str">
        <f>IF(AND('7b. TB TX REGISTER - PL'!G10&lt;&gt;0,
'5b. PRESUMPTIVE REGISTER -  PL'!G16&lt;&gt;0),
'7b. TB TX REGISTER - PL'!G10 - '5b. PRESUMPTIVE REGISTER -  PL'!G16,"-")</f>
        <v>-</v>
      </c>
    </row>
    <row r="135" spans="2:20" customFormat="1" ht="27.6" customHeight="1" x14ac:dyDescent="0.3">
      <c r="B135" s="111"/>
      <c r="C135" s="112"/>
      <c r="D135" s="112"/>
      <c r="E135" s="112"/>
      <c r="F135" s="112"/>
      <c r="G135" s="112"/>
      <c r="H135" s="112"/>
      <c r="I135" s="112"/>
      <c r="J135" s="112"/>
      <c r="K135" s="112"/>
      <c r="L135" s="112"/>
      <c r="M135" s="112"/>
      <c r="N135" s="419" t="s">
        <v>12</v>
      </c>
      <c r="O135" s="449" t="str">
        <f>IF(AND('5b. PRESUMPTIVE REGISTER -  PL'!C17 = '3.2 TAT ANALYSIS'!$O$131,
'7b. TB TX REGISTER - PL'!G11&lt;&gt;0,
'5b. PRESUMPTIVE REGISTER -  PL'!G17&lt;&gt;0),
'7b. TB TX REGISTER - PL'!G11 - '5b. PRESUMPTIVE REGISTER -  PL'!G17,"-")</f>
        <v>-</v>
      </c>
      <c r="P135" s="430" t="str">
        <f>IF(AND('5b. PRESUMPTIVE REGISTER -  PL'!C17 = '3.2 TAT ANALYSIS'!$P$131,
'7b. TB TX REGISTER - PL'!G11&lt;&gt;0,
'5b. PRESUMPTIVE REGISTER -  PL'!G17&lt;&gt;0),
'7b. TB TX REGISTER - PL'!G11 - '5b. PRESUMPTIVE REGISTER -  PL'!G17,"-")</f>
        <v>-</v>
      </c>
      <c r="Q135" s="430" t="str">
        <f>IF(AND('5b. PRESUMPTIVE REGISTER -  PL'!C17 = '3.2 TAT ANALYSIS'!$Q$131,
'7b. TB TX REGISTER - PL'!G11&lt;&gt;0,
'5b. PRESUMPTIVE REGISTER -  PL'!G17&lt;&gt;0),
'7b. TB TX REGISTER - PL'!G11 - '5b. PRESUMPTIVE REGISTER -  PL'!G17,"-")</f>
        <v>-</v>
      </c>
      <c r="R135" s="430" t="str">
        <f>IF(AND('5b. PRESUMPTIVE REGISTER -  PL'!C17 = '3.2 TAT ANALYSIS'!$R$131,
'7b. TB TX REGISTER - PL'!G11&lt;&gt;0,
'5b. PRESUMPTIVE REGISTER -  PL'!G17&lt;&gt;0),
'7b. TB TX REGISTER - PL'!G11 - '5b. PRESUMPTIVE REGISTER -  PL'!G17,"-")</f>
        <v>-</v>
      </c>
      <c r="S135" s="430" t="str">
        <f>IF(AND('5b. PRESUMPTIVE REGISTER -  PL'!C17 = '3.2 TAT ANALYSIS'!$Q$131,
'7b. TB TX REGISTER - PL'!G11&lt;&gt;0,
'5b. PRESUMPTIVE REGISTER -  PL'!G17&lt;&gt;0),
'7b. TB TX REGISTER - PL'!G11 - '5b. PRESUMPTIVE REGISTER -  PL'!G17,"-")</f>
        <v>-</v>
      </c>
      <c r="T135" s="437" t="str">
        <f>IF(AND('7b. TB TX REGISTER - PL'!G11&lt;&gt;0,
'5b. PRESUMPTIVE REGISTER -  PL'!G17&lt;&gt;0),
'7b. TB TX REGISTER - PL'!G11 - '5b. PRESUMPTIVE REGISTER -  PL'!G17,"-")</f>
        <v>-</v>
      </c>
    </row>
    <row r="136" spans="2:20" customFormat="1" ht="27.6" customHeight="1" x14ac:dyDescent="0.3">
      <c r="B136" s="111"/>
      <c r="C136" s="112"/>
      <c r="D136" s="112"/>
      <c r="E136" s="112"/>
      <c r="F136" s="112"/>
      <c r="G136" s="112"/>
      <c r="H136" s="112"/>
      <c r="I136" s="112"/>
      <c r="J136" s="112"/>
      <c r="K136" s="112"/>
      <c r="L136" s="112"/>
      <c r="M136" s="112"/>
      <c r="N136" s="419" t="s">
        <v>32</v>
      </c>
      <c r="O136" s="449" t="str">
        <f>IF(AND('5b. PRESUMPTIVE REGISTER -  PL'!C18 = '3.2 TAT ANALYSIS'!$O$131,
'7b. TB TX REGISTER - PL'!G12&lt;&gt;0,
'5b. PRESUMPTIVE REGISTER -  PL'!G18&lt;&gt;0),
'7b. TB TX REGISTER - PL'!G12 - '5b. PRESUMPTIVE REGISTER -  PL'!G18,"-")</f>
        <v>-</v>
      </c>
      <c r="P136" s="430" t="str">
        <f>IF(AND('5b. PRESUMPTIVE REGISTER -  PL'!C18 = '3.2 TAT ANALYSIS'!$P$131,
'7b. TB TX REGISTER - PL'!G12&lt;&gt;0,
'5b. PRESUMPTIVE REGISTER -  PL'!G18&lt;&gt;0),
'7b. TB TX REGISTER - PL'!G12 - '5b. PRESUMPTIVE REGISTER -  PL'!G18,"-")</f>
        <v>-</v>
      </c>
      <c r="Q136" s="430" t="str">
        <f>IF(AND('5b. PRESUMPTIVE REGISTER -  PL'!C18 = '3.2 TAT ANALYSIS'!$Q$131,
'7b. TB TX REGISTER - PL'!G12&lt;&gt;0,
'5b. PRESUMPTIVE REGISTER -  PL'!G18&lt;&gt;0),
'7b. TB TX REGISTER - PL'!G12 - '5b. PRESUMPTIVE REGISTER -  PL'!G18,"-")</f>
        <v>-</v>
      </c>
      <c r="R136" s="430" t="str">
        <f>IF(AND('5b. PRESUMPTIVE REGISTER -  PL'!C18 = '3.2 TAT ANALYSIS'!$R$131,
'7b. TB TX REGISTER - PL'!G12&lt;&gt;0,
'5b. PRESUMPTIVE REGISTER -  PL'!G18&lt;&gt;0),
'7b. TB TX REGISTER - PL'!G12 - '5b. PRESUMPTIVE REGISTER -  PL'!G18,"-")</f>
        <v>-</v>
      </c>
      <c r="S136" s="430" t="str">
        <f>IF(AND('5b. PRESUMPTIVE REGISTER -  PL'!C18 = '3.2 TAT ANALYSIS'!$Q$131,
'7b. TB TX REGISTER - PL'!G12&lt;&gt;0,
'5b. PRESUMPTIVE REGISTER -  PL'!G18&lt;&gt;0),
'7b. TB TX REGISTER - PL'!G12 - '5b. PRESUMPTIVE REGISTER -  PL'!G18,"-")</f>
        <v>-</v>
      </c>
      <c r="T136" s="437" t="str">
        <f>IF(AND('7b. TB TX REGISTER - PL'!G12&lt;&gt;0,
'5b. PRESUMPTIVE REGISTER -  PL'!G18&lt;&gt;0),
'7b. TB TX REGISTER - PL'!G12 - '5b. PRESUMPTIVE REGISTER -  PL'!G18,"-")</f>
        <v>-</v>
      </c>
    </row>
    <row r="137" spans="2:20" customFormat="1" ht="27.6" customHeight="1" x14ac:dyDescent="0.3">
      <c r="B137" s="111"/>
      <c r="C137" s="112"/>
      <c r="D137" s="112"/>
      <c r="E137" s="112"/>
      <c r="F137" s="112"/>
      <c r="G137" s="112"/>
      <c r="H137" s="112"/>
      <c r="I137" s="112"/>
      <c r="J137" s="112"/>
      <c r="K137" s="112"/>
      <c r="L137" s="112"/>
      <c r="M137" s="112"/>
      <c r="N137" s="419" t="s">
        <v>33</v>
      </c>
      <c r="O137" s="449" t="str">
        <f>IF(AND('5b. PRESUMPTIVE REGISTER -  PL'!C19 = '3.2 TAT ANALYSIS'!$O$131,
'7b. TB TX REGISTER - PL'!G13&lt;&gt;0,
'5b. PRESUMPTIVE REGISTER -  PL'!G19&lt;&gt;0),
'7b. TB TX REGISTER - PL'!G13 - '5b. PRESUMPTIVE REGISTER -  PL'!G19,"-")</f>
        <v>-</v>
      </c>
      <c r="P137" s="430" t="str">
        <f>IF(AND('5b. PRESUMPTIVE REGISTER -  PL'!C19 = '3.2 TAT ANALYSIS'!$P$131,
'7b. TB TX REGISTER - PL'!G13&lt;&gt;0,
'5b. PRESUMPTIVE REGISTER -  PL'!G19&lt;&gt;0),
'7b. TB TX REGISTER - PL'!G13 - '5b. PRESUMPTIVE REGISTER -  PL'!G19,"-")</f>
        <v>-</v>
      </c>
      <c r="Q137" s="430" t="str">
        <f>IF(AND('5b. PRESUMPTIVE REGISTER -  PL'!C19 = '3.2 TAT ANALYSIS'!$Q$131,
'7b. TB TX REGISTER - PL'!G13&lt;&gt;0,
'5b. PRESUMPTIVE REGISTER -  PL'!G19&lt;&gt;0),
'7b. TB TX REGISTER - PL'!G13 - '5b. PRESUMPTIVE REGISTER -  PL'!G19,"-")</f>
        <v>-</v>
      </c>
      <c r="R137" s="430" t="str">
        <f>IF(AND('5b. PRESUMPTIVE REGISTER -  PL'!C19 = '3.2 TAT ANALYSIS'!$R$131,
'7b. TB TX REGISTER - PL'!G13&lt;&gt;0,
'5b. PRESUMPTIVE REGISTER -  PL'!G19&lt;&gt;0),
'7b. TB TX REGISTER - PL'!G13 - '5b. PRESUMPTIVE REGISTER -  PL'!G19,"-")</f>
        <v>-</v>
      </c>
      <c r="S137" s="430" t="str">
        <f>IF(AND('5b. PRESUMPTIVE REGISTER -  PL'!C19 = '3.2 TAT ANALYSIS'!$Q$131,
'7b. TB TX REGISTER - PL'!G13&lt;&gt;0,
'5b. PRESUMPTIVE REGISTER -  PL'!G19&lt;&gt;0),
'7b. TB TX REGISTER - PL'!G13 - '5b. PRESUMPTIVE REGISTER -  PL'!G19,"-")</f>
        <v>-</v>
      </c>
      <c r="T137" s="437" t="str">
        <f>IF(AND('7b. TB TX REGISTER - PL'!G13&lt;&gt;0,
'5b. PRESUMPTIVE REGISTER -  PL'!G19&lt;&gt;0),
'7b. TB TX REGISTER - PL'!G13 - '5b. PRESUMPTIVE REGISTER -  PL'!G19,"-")</f>
        <v>-</v>
      </c>
    </row>
    <row r="138" spans="2:20" customFormat="1" ht="27.6" customHeight="1" x14ac:dyDescent="0.3">
      <c r="B138" s="111"/>
      <c r="C138" s="112"/>
      <c r="D138" s="112"/>
      <c r="E138" s="112"/>
      <c r="F138" s="112"/>
      <c r="G138" s="112"/>
      <c r="H138" s="112"/>
      <c r="I138" s="112"/>
      <c r="J138" s="112"/>
      <c r="K138" s="112"/>
      <c r="L138" s="112"/>
      <c r="M138" s="112"/>
      <c r="N138" s="419" t="s">
        <v>34</v>
      </c>
      <c r="O138" s="449" t="str">
        <f>IF(AND('5b. PRESUMPTIVE REGISTER -  PL'!C20 = '3.2 TAT ANALYSIS'!$O$131,
'7b. TB TX REGISTER - PL'!G14&lt;&gt;0,
'5b. PRESUMPTIVE REGISTER -  PL'!G20&lt;&gt;0),
'7b. TB TX REGISTER - PL'!G14 - '5b. PRESUMPTIVE REGISTER -  PL'!G20,"-")</f>
        <v>-</v>
      </c>
      <c r="P138" s="430" t="str">
        <f>IF(AND('5b. PRESUMPTIVE REGISTER -  PL'!C20 = '3.2 TAT ANALYSIS'!$P$131,
'7b. TB TX REGISTER - PL'!G14&lt;&gt;0,
'5b. PRESUMPTIVE REGISTER -  PL'!G20&lt;&gt;0),
'7b. TB TX REGISTER - PL'!G14 - '5b. PRESUMPTIVE REGISTER -  PL'!G20,"-")</f>
        <v>-</v>
      </c>
      <c r="Q138" s="430" t="str">
        <f>IF(AND('5b. PRESUMPTIVE REGISTER -  PL'!C20 = '3.2 TAT ANALYSIS'!$Q$131,
'7b. TB TX REGISTER - PL'!G14&lt;&gt;0,
'5b. PRESUMPTIVE REGISTER -  PL'!G20&lt;&gt;0),
'7b. TB TX REGISTER - PL'!G14 - '5b. PRESUMPTIVE REGISTER -  PL'!G20,"-")</f>
        <v>-</v>
      </c>
      <c r="R138" s="430" t="str">
        <f>IF(AND('5b. PRESUMPTIVE REGISTER -  PL'!C20 = '3.2 TAT ANALYSIS'!$R$131,
'7b. TB TX REGISTER - PL'!G14&lt;&gt;0,
'5b. PRESUMPTIVE REGISTER -  PL'!G20&lt;&gt;0),
'7b. TB TX REGISTER - PL'!G14 - '5b. PRESUMPTIVE REGISTER -  PL'!G20,"-")</f>
        <v>-</v>
      </c>
      <c r="S138" s="430" t="str">
        <f>IF(AND('5b. PRESUMPTIVE REGISTER -  PL'!C20 = '3.2 TAT ANALYSIS'!$Q$131,
'7b. TB TX REGISTER - PL'!G14&lt;&gt;0,
'5b. PRESUMPTIVE REGISTER -  PL'!G20&lt;&gt;0),
'7b. TB TX REGISTER - PL'!G14 - '5b. PRESUMPTIVE REGISTER -  PL'!G20,"-")</f>
        <v>-</v>
      </c>
      <c r="T138" s="437" t="str">
        <f>IF(AND('7b. TB TX REGISTER - PL'!G14&lt;&gt;0,
'5b. PRESUMPTIVE REGISTER -  PL'!G20&lt;&gt;0),
'7b. TB TX REGISTER - PL'!G14 - '5b. PRESUMPTIVE REGISTER -  PL'!G20,"-")</f>
        <v>-</v>
      </c>
    </row>
    <row r="139" spans="2:20" customFormat="1" ht="27.6" customHeight="1" x14ac:dyDescent="0.3">
      <c r="B139" s="111"/>
      <c r="C139" s="112"/>
      <c r="D139" s="112"/>
      <c r="E139" s="112"/>
      <c r="F139" s="112"/>
      <c r="G139" s="112"/>
      <c r="H139" s="112"/>
      <c r="I139" s="112"/>
      <c r="J139" s="112"/>
      <c r="K139" s="112"/>
      <c r="L139" s="112"/>
      <c r="M139" s="112"/>
      <c r="N139" s="419" t="s">
        <v>35</v>
      </c>
      <c r="O139" s="449" t="str">
        <f>IF(AND('5b. PRESUMPTIVE REGISTER -  PL'!C21 = '3.2 TAT ANALYSIS'!$O$131,
'7b. TB TX REGISTER - PL'!G15&lt;&gt;0,
'5b. PRESUMPTIVE REGISTER -  PL'!G21&lt;&gt;0),
'7b. TB TX REGISTER - PL'!G15 - '5b. PRESUMPTIVE REGISTER -  PL'!G21,"-")</f>
        <v>-</v>
      </c>
      <c r="P139" s="430" t="str">
        <f>IF(AND('5b. PRESUMPTIVE REGISTER -  PL'!C21 = '3.2 TAT ANALYSIS'!$P$131,
'7b. TB TX REGISTER - PL'!G15&lt;&gt;0,
'5b. PRESUMPTIVE REGISTER -  PL'!G21&lt;&gt;0),
'7b. TB TX REGISTER - PL'!G15 - '5b. PRESUMPTIVE REGISTER -  PL'!G21,"-")</f>
        <v>-</v>
      </c>
      <c r="Q139" s="430" t="str">
        <f>IF(AND('5b. PRESUMPTIVE REGISTER -  PL'!C21 = '3.2 TAT ANALYSIS'!$Q$131,
'7b. TB TX REGISTER - PL'!G15&lt;&gt;0,
'5b. PRESUMPTIVE REGISTER -  PL'!G21&lt;&gt;0),
'7b. TB TX REGISTER - PL'!G15 - '5b. PRESUMPTIVE REGISTER -  PL'!G21,"-")</f>
        <v>-</v>
      </c>
      <c r="R139" s="430" t="str">
        <f>IF(AND('5b. PRESUMPTIVE REGISTER -  PL'!C21 = '3.2 TAT ANALYSIS'!$R$131,
'7b. TB TX REGISTER - PL'!G15&lt;&gt;0,
'5b. PRESUMPTIVE REGISTER -  PL'!G21&lt;&gt;0),
'7b. TB TX REGISTER - PL'!G15 - '5b. PRESUMPTIVE REGISTER -  PL'!G21,"-")</f>
        <v>-</v>
      </c>
      <c r="S139" s="430" t="str">
        <f>IF(AND('5b. PRESUMPTIVE REGISTER -  PL'!C21 = '3.2 TAT ANALYSIS'!$Q$131,
'7b. TB TX REGISTER - PL'!G15&lt;&gt;0,
'5b. PRESUMPTIVE REGISTER -  PL'!G21&lt;&gt;0),
'7b. TB TX REGISTER - PL'!G15 - '5b. PRESUMPTIVE REGISTER -  PL'!G21,"-")</f>
        <v>-</v>
      </c>
      <c r="T139" s="437" t="str">
        <f>IF(AND('7b. TB TX REGISTER - PL'!G15&lt;&gt;0,
'5b. PRESUMPTIVE REGISTER -  PL'!G21&lt;&gt;0),
'7b. TB TX REGISTER - PL'!G15 - '5b. PRESUMPTIVE REGISTER -  PL'!G21,"-")</f>
        <v>-</v>
      </c>
    </row>
    <row r="140" spans="2:20" customFormat="1" ht="27.6" customHeight="1" x14ac:dyDescent="0.3">
      <c r="B140" s="111"/>
      <c r="C140" s="112"/>
      <c r="D140" s="112"/>
      <c r="E140" s="112"/>
      <c r="F140" s="112"/>
      <c r="G140" s="112"/>
      <c r="H140" s="112"/>
      <c r="I140" s="112"/>
      <c r="J140" s="112"/>
      <c r="K140" s="112"/>
      <c r="L140" s="112"/>
      <c r="M140" s="112"/>
      <c r="N140" s="419" t="s">
        <v>36</v>
      </c>
      <c r="O140" s="449" t="str">
        <f>IF(AND('5b. PRESUMPTIVE REGISTER -  PL'!C22 = '3.2 TAT ANALYSIS'!$O$131,
'7b. TB TX REGISTER - PL'!G16&lt;&gt;0,
'5b. PRESUMPTIVE REGISTER -  PL'!G22&lt;&gt;0),
'7b. TB TX REGISTER - PL'!G16 - '5b. PRESUMPTIVE REGISTER -  PL'!G22,"-")</f>
        <v>-</v>
      </c>
      <c r="P140" s="430" t="str">
        <f>IF(AND('5b. PRESUMPTIVE REGISTER -  PL'!C22 = '3.2 TAT ANALYSIS'!$P$131,
'7b. TB TX REGISTER - PL'!G16&lt;&gt;0,
'5b. PRESUMPTIVE REGISTER -  PL'!G22&lt;&gt;0),
'7b. TB TX REGISTER - PL'!G16 - '5b. PRESUMPTIVE REGISTER -  PL'!G22,"-")</f>
        <v>-</v>
      </c>
      <c r="Q140" s="430" t="str">
        <f>IF(AND('5b. PRESUMPTIVE REGISTER -  PL'!C22 = '3.2 TAT ANALYSIS'!$Q$131,
'7b. TB TX REGISTER - PL'!G16&lt;&gt;0,
'5b. PRESUMPTIVE REGISTER -  PL'!G22&lt;&gt;0),
'7b. TB TX REGISTER - PL'!G16 - '5b. PRESUMPTIVE REGISTER -  PL'!G22,"-")</f>
        <v>-</v>
      </c>
      <c r="R140" s="430" t="str">
        <f>IF(AND('5b. PRESUMPTIVE REGISTER -  PL'!C22 = '3.2 TAT ANALYSIS'!$R$131,
'7b. TB TX REGISTER - PL'!G16&lt;&gt;0,
'5b. PRESUMPTIVE REGISTER -  PL'!G22&lt;&gt;0),
'7b. TB TX REGISTER - PL'!G16 - '5b. PRESUMPTIVE REGISTER -  PL'!G22,"-")</f>
        <v>-</v>
      </c>
      <c r="S140" s="430" t="str">
        <f>IF(AND('5b. PRESUMPTIVE REGISTER -  PL'!C22 = '3.2 TAT ANALYSIS'!$Q$131,
'7b. TB TX REGISTER - PL'!G16&lt;&gt;0,
'5b. PRESUMPTIVE REGISTER -  PL'!G22&lt;&gt;0),
'7b. TB TX REGISTER - PL'!G16 - '5b. PRESUMPTIVE REGISTER -  PL'!G22,"-")</f>
        <v>-</v>
      </c>
      <c r="T140" s="437" t="str">
        <f>IF(AND('7b. TB TX REGISTER - PL'!G16&lt;&gt;0,
'5b. PRESUMPTIVE REGISTER -  PL'!G22&lt;&gt;0),
'7b. TB TX REGISTER - PL'!G16 - '5b. PRESUMPTIVE REGISTER -  PL'!G22,"-")</f>
        <v>-</v>
      </c>
    </row>
    <row r="141" spans="2:20" customFormat="1" ht="27.6" customHeight="1" x14ac:dyDescent="0.3">
      <c r="B141" s="111"/>
      <c r="C141" s="112"/>
      <c r="D141" s="112"/>
      <c r="E141" s="112"/>
      <c r="F141" s="112"/>
      <c r="G141" s="112"/>
      <c r="H141" s="112"/>
      <c r="I141" s="112"/>
      <c r="J141" s="112"/>
      <c r="K141" s="112"/>
      <c r="L141" s="112"/>
      <c r="M141" s="112"/>
      <c r="N141" s="419" t="s">
        <v>37</v>
      </c>
      <c r="O141" s="449" t="str">
        <f>IF(AND('5b. PRESUMPTIVE REGISTER -  PL'!C23 = '3.2 TAT ANALYSIS'!$O$131,
'7b. TB TX REGISTER - PL'!G17&lt;&gt;0,
'5b. PRESUMPTIVE REGISTER -  PL'!G23&lt;&gt;0),
'7b. TB TX REGISTER - PL'!G17 - '5b. PRESUMPTIVE REGISTER -  PL'!G23,"-")</f>
        <v>-</v>
      </c>
      <c r="P141" s="430" t="str">
        <f>IF(AND('5b. PRESUMPTIVE REGISTER -  PL'!C23 = '3.2 TAT ANALYSIS'!$P$131,
'7b. TB TX REGISTER - PL'!G17&lt;&gt;0,
'5b. PRESUMPTIVE REGISTER -  PL'!G23&lt;&gt;0),
'7b. TB TX REGISTER - PL'!G17 - '5b. PRESUMPTIVE REGISTER -  PL'!G23,"-")</f>
        <v>-</v>
      </c>
      <c r="Q141" s="430" t="str">
        <f>IF(AND('5b. PRESUMPTIVE REGISTER -  PL'!C23 = '3.2 TAT ANALYSIS'!$Q$131,
'7b. TB TX REGISTER - PL'!G17&lt;&gt;0,
'5b. PRESUMPTIVE REGISTER -  PL'!G23&lt;&gt;0),
'7b. TB TX REGISTER - PL'!G17 - '5b. PRESUMPTIVE REGISTER -  PL'!G23,"-")</f>
        <v>-</v>
      </c>
      <c r="R141" s="430" t="str">
        <f>IF(AND('5b. PRESUMPTIVE REGISTER -  PL'!C23 = '3.2 TAT ANALYSIS'!$R$131,
'7b. TB TX REGISTER - PL'!G17&lt;&gt;0,
'5b. PRESUMPTIVE REGISTER -  PL'!G23&lt;&gt;0),
'7b. TB TX REGISTER - PL'!G17 - '5b. PRESUMPTIVE REGISTER -  PL'!G23,"-")</f>
        <v>-</v>
      </c>
      <c r="S141" s="430" t="str">
        <f>IF(AND('5b. PRESUMPTIVE REGISTER -  PL'!C23 = '3.2 TAT ANALYSIS'!$Q$131,
'7b. TB TX REGISTER - PL'!G17&lt;&gt;0,
'5b. PRESUMPTIVE REGISTER -  PL'!G23&lt;&gt;0),
'7b. TB TX REGISTER - PL'!G17 - '5b. PRESUMPTIVE REGISTER -  PL'!G23,"-")</f>
        <v>-</v>
      </c>
      <c r="T141" s="437" t="str">
        <f>IF(AND('7b. TB TX REGISTER - PL'!G17&lt;&gt;0,
'5b. PRESUMPTIVE REGISTER -  PL'!G23&lt;&gt;0),
'7b. TB TX REGISTER - PL'!G17 - '5b. PRESUMPTIVE REGISTER -  PL'!G23,"-")</f>
        <v>-</v>
      </c>
    </row>
    <row r="142" spans="2:20" customFormat="1" ht="27.6" customHeight="1" x14ac:dyDescent="0.3">
      <c r="B142" s="111"/>
      <c r="C142" s="112"/>
      <c r="D142" s="112"/>
      <c r="E142" s="112"/>
      <c r="F142" s="112"/>
      <c r="G142" s="112"/>
      <c r="H142" s="112"/>
      <c r="I142" s="112"/>
      <c r="J142" s="112"/>
      <c r="K142" s="112"/>
      <c r="L142" s="112"/>
      <c r="M142" s="112"/>
      <c r="N142" s="419" t="s">
        <v>38</v>
      </c>
      <c r="O142" s="449" t="str">
        <f>IF(AND('5b. PRESUMPTIVE REGISTER -  PL'!C24 = '3.2 TAT ANALYSIS'!$O$131,
'7b. TB TX REGISTER - PL'!G18&lt;&gt;0,
'5b. PRESUMPTIVE REGISTER -  PL'!G24&lt;&gt;0),
'7b. TB TX REGISTER - PL'!G18 - '5b. PRESUMPTIVE REGISTER -  PL'!G24,"-")</f>
        <v>-</v>
      </c>
      <c r="P142" s="430" t="str">
        <f>IF(AND('5b. PRESUMPTIVE REGISTER -  PL'!C24 = '3.2 TAT ANALYSIS'!$P$131,
'7b. TB TX REGISTER - PL'!G18&lt;&gt;0,
'5b. PRESUMPTIVE REGISTER -  PL'!G24&lt;&gt;0),
'7b. TB TX REGISTER - PL'!G18 - '5b. PRESUMPTIVE REGISTER -  PL'!G24,"-")</f>
        <v>-</v>
      </c>
      <c r="Q142" s="430" t="str">
        <f>IF(AND('5b. PRESUMPTIVE REGISTER -  PL'!C24 = '3.2 TAT ANALYSIS'!$Q$131,
'7b. TB TX REGISTER - PL'!G18&lt;&gt;0,
'5b. PRESUMPTIVE REGISTER -  PL'!G24&lt;&gt;0),
'7b. TB TX REGISTER - PL'!G18 - '5b. PRESUMPTIVE REGISTER -  PL'!G24,"-")</f>
        <v>-</v>
      </c>
      <c r="R142" s="430" t="str">
        <f>IF(AND('5b. PRESUMPTIVE REGISTER -  PL'!C24 = '3.2 TAT ANALYSIS'!$R$131,
'7b. TB TX REGISTER - PL'!G18&lt;&gt;0,
'5b. PRESUMPTIVE REGISTER -  PL'!G24&lt;&gt;0),
'7b. TB TX REGISTER - PL'!G18 - '5b. PRESUMPTIVE REGISTER -  PL'!G24,"-")</f>
        <v>-</v>
      </c>
      <c r="S142" s="430" t="str">
        <f>IF(AND('5b. PRESUMPTIVE REGISTER -  PL'!C24 = '3.2 TAT ANALYSIS'!$Q$131,
'7b. TB TX REGISTER - PL'!G18&lt;&gt;0,
'5b. PRESUMPTIVE REGISTER -  PL'!G24&lt;&gt;0),
'7b. TB TX REGISTER - PL'!G18 - '5b. PRESUMPTIVE REGISTER -  PL'!G24,"-")</f>
        <v>-</v>
      </c>
      <c r="T142" s="437" t="str">
        <f>IF(AND('7b. TB TX REGISTER - PL'!G18&lt;&gt;0,
'5b. PRESUMPTIVE REGISTER -  PL'!G24&lt;&gt;0),
'7b. TB TX REGISTER - PL'!G18 - '5b. PRESUMPTIVE REGISTER -  PL'!G24,"-")</f>
        <v>-</v>
      </c>
    </row>
    <row r="143" spans="2:20" customFormat="1" ht="27.6" customHeight="1" x14ac:dyDescent="0.3">
      <c r="B143" s="111"/>
      <c r="C143" s="112"/>
      <c r="D143" s="112"/>
      <c r="E143" s="112"/>
      <c r="F143" s="112"/>
      <c r="G143" s="112"/>
      <c r="H143" s="112"/>
      <c r="I143" s="112"/>
      <c r="J143" s="112"/>
      <c r="K143" s="112"/>
      <c r="L143" s="112"/>
      <c r="M143" s="112"/>
      <c r="N143" s="419" t="s">
        <v>39</v>
      </c>
      <c r="O143" s="449" t="str">
        <f>IF(AND('5b. PRESUMPTIVE REGISTER -  PL'!C25 = '3.2 TAT ANALYSIS'!$O$131,
'7b. TB TX REGISTER - PL'!G19&lt;&gt;0,
'5b. PRESUMPTIVE REGISTER -  PL'!G25&lt;&gt;0),
'7b. TB TX REGISTER - PL'!G19 - '5b. PRESUMPTIVE REGISTER -  PL'!G25,"-")</f>
        <v>-</v>
      </c>
      <c r="P143" s="430" t="str">
        <f>IF(AND('5b. PRESUMPTIVE REGISTER -  PL'!C25 = '3.2 TAT ANALYSIS'!$P$131,
'7b. TB TX REGISTER - PL'!G19&lt;&gt;0,
'5b. PRESUMPTIVE REGISTER -  PL'!G25&lt;&gt;0),
'7b. TB TX REGISTER - PL'!G19 - '5b. PRESUMPTIVE REGISTER -  PL'!G25,"-")</f>
        <v>-</v>
      </c>
      <c r="Q143" s="430" t="str">
        <f>IF(AND('5b. PRESUMPTIVE REGISTER -  PL'!C25 = '3.2 TAT ANALYSIS'!$Q$131,
'7b. TB TX REGISTER - PL'!G19&lt;&gt;0,
'5b. PRESUMPTIVE REGISTER -  PL'!G25&lt;&gt;0),
'7b. TB TX REGISTER - PL'!G19 - '5b. PRESUMPTIVE REGISTER -  PL'!G25,"-")</f>
        <v>-</v>
      </c>
      <c r="R143" s="430" t="str">
        <f>IF(AND('5b. PRESUMPTIVE REGISTER -  PL'!C25 = '3.2 TAT ANALYSIS'!$R$131,
'7b. TB TX REGISTER - PL'!G19&lt;&gt;0,
'5b. PRESUMPTIVE REGISTER -  PL'!G25&lt;&gt;0),
'7b. TB TX REGISTER - PL'!G19 - '5b. PRESUMPTIVE REGISTER -  PL'!G25,"-")</f>
        <v>-</v>
      </c>
      <c r="S143" s="430" t="str">
        <f>IF(AND('5b. PRESUMPTIVE REGISTER -  PL'!C25 = '3.2 TAT ANALYSIS'!$Q$131,
'7b. TB TX REGISTER - PL'!G19&lt;&gt;0,
'5b. PRESUMPTIVE REGISTER -  PL'!G25&lt;&gt;0),
'7b. TB TX REGISTER - PL'!G19 - '5b. PRESUMPTIVE REGISTER -  PL'!G25,"-")</f>
        <v>-</v>
      </c>
      <c r="T143" s="437" t="str">
        <f>IF(AND('7b. TB TX REGISTER - PL'!G19&lt;&gt;0,
'5b. PRESUMPTIVE REGISTER -  PL'!G25&lt;&gt;0),
'7b. TB TX REGISTER - PL'!G19 - '5b. PRESUMPTIVE REGISTER -  PL'!G25,"-")</f>
        <v>-</v>
      </c>
    </row>
    <row r="144" spans="2:20" customFormat="1" ht="27.6" customHeight="1" x14ac:dyDescent="0.3">
      <c r="B144" s="111"/>
      <c r="C144" s="112"/>
      <c r="D144" s="112"/>
      <c r="E144" s="112"/>
      <c r="F144" s="112"/>
      <c r="G144" s="112"/>
      <c r="H144" s="112"/>
      <c r="I144" s="112"/>
      <c r="J144" s="112"/>
      <c r="K144" s="112"/>
      <c r="L144" s="112"/>
      <c r="M144" s="112"/>
      <c r="N144" s="419" t="s">
        <v>40</v>
      </c>
      <c r="O144" s="449" t="str">
        <f>IF(AND('5b. PRESUMPTIVE REGISTER -  PL'!C26 = '3.2 TAT ANALYSIS'!$O$131,
'7b. TB TX REGISTER - PL'!G20&lt;&gt;0,
'5b. PRESUMPTIVE REGISTER -  PL'!G26&lt;&gt;0),
'7b. TB TX REGISTER - PL'!G20 - '5b. PRESUMPTIVE REGISTER -  PL'!G26,"-")</f>
        <v>-</v>
      </c>
      <c r="P144" s="430" t="str">
        <f>IF(AND('5b. PRESUMPTIVE REGISTER -  PL'!C26 = '3.2 TAT ANALYSIS'!$P$131,
'7b. TB TX REGISTER - PL'!G20&lt;&gt;0,
'5b. PRESUMPTIVE REGISTER -  PL'!G26&lt;&gt;0),
'7b. TB TX REGISTER - PL'!G20 - '5b. PRESUMPTIVE REGISTER -  PL'!G26,"-")</f>
        <v>-</v>
      </c>
      <c r="Q144" s="430" t="str">
        <f>IF(AND('5b. PRESUMPTIVE REGISTER -  PL'!C26 = '3.2 TAT ANALYSIS'!$Q$131,
'7b. TB TX REGISTER - PL'!G20&lt;&gt;0,
'5b. PRESUMPTIVE REGISTER -  PL'!G26&lt;&gt;0),
'7b. TB TX REGISTER - PL'!G20 - '5b. PRESUMPTIVE REGISTER -  PL'!G26,"-")</f>
        <v>-</v>
      </c>
      <c r="R144" s="430" t="str">
        <f>IF(AND('5b. PRESUMPTIVE REGISTER -  PL'!C26 = '3.2 TAT ANALYSIS'!$R$131,
'7b. TB TX REGISTER - PL'!G20&lt;&gt;0,
'5b. PRESUMPTIVE REGISTER -  PL'!G26&lt;&gt;0),
'7b. TB TX REGISTER - PL'!G20 - '5b. PRESUMPTIVE REGISTER -  PL'!G26,"-")</f>
        <v>-</v>
      </c>
      <c r="S144" s="430" t="str">
        <f>IF(AND('5b. PRESUMPTIVE REGISTER -  PL'!C26 = '3.2 TAT ANALYSIS'!$Q$131,
'7b. TB TX REGISTER - PL'!G20&lt;&gt;0,
'5b. PRESUMPTIVE REGISTER -  PL'!G26&lt;&gt;0),
'7b. TB TX REGISTER - PL'!G20 - '5b. PRESUMPTIVE REGISTER -  PL'!G26,"-")</f>
        <v>-</v>
      </c>
      <c r="T144" s="437" t="str">
        <f>IF(AND('7b. TB TX REGISTER - PL'!G20&lt;&gt;0,
'5b. PRESUMPTIVE REGISTER -  PL'!G26&lt;&gt;0),
'7b. TB TX REGISTER - PL'!G20 - '5b. PRESUMPTIVE REGISTER -  PL'!G26,"-")</f>
        <v>-</v>
      </c>
    </row>
    <row r="145" spans="2:20" customFormat="1" ht="27.6" customHeight="1" x14ac:dyDescent="0.3">
      <c r="B145" s="111"/>
      <c r="C145" s="112"/>
      <c r="D145" s="112"/>
      <c r="E145" s="112"/>
      <c r="F145" s="112"/>
      <c r="G145" s="112"/>
      <c r="H145" s="112"/>
      <c r="I145" s="112"/>
      <c r="J145" s="112"/>
      <c r="K145" s="112"/>
      <c r="L145" s="112"/>
      <c r="M145" s="112"/>
      <c r="N145" s="419" t="s">
        <v>41</v>
      </c>
      <c r="O145" s="449" t="str">
        <f>IF(AND('5b. PRESUMPTIVE REGISTER -  PL'!C27 = '3.2 TAT ANALYSIS'!$O$131,
'7b. TB TX REGISTER - PL'!G21&lt;&gt;0,
'5b. PRESUMPTIVE REGISTER -  PL'!G27&lt;&gt;0),
'7b. TB TX REGISTER - PL'!G21 - '5b. PRESUMPTIVE REGISTER -  PL'!G27,"-")</f>
        <v>-</v>
      </c>
      <c r="P145" s="430" t="str">
        <f>IF(AND('5b. PRESUMPTIVE REGISTER -  PL'!C27 = '3.2 TAT ANALYSIS'!$P$131,
'7b. TB TX REGISTER - PL'!G21&lt;&gt;0,
'5b. PRESUMPTIVE REGISTER -  PL'!G27&lt;&gt;0),
'7b. TB TX REGISTER - PL'!G21 - '5b. PRESUMPTIVE REGISTER -  PL'!G27,"-")</f>
        <v>-</v>
      </c>
      <c r="Q145" s="430" t="str">
        <f>IF(AND('5b. PRESUMPTIVE REGISTER -  PL'!C27 = '3.2 TAT ANALYSIS'!$Q$131,
'7b. TB TX REGISTER - PL'!G21&lt;&gt;0,
'5b. PRESUMPTIVE REGISTER -  PL'!G27&lt;&gt;0),
'7b. TB TX REGISTER - PL'!G21 - '5b. PRESUMPTIVE REGISTER -  PL'!G27,"-")</f>
        <v>-</v>
      </c>
      <c r="R145" s="430" t="str">
        <f>IF(AND('5b. PRESUMPTIVE REGISTER -  PL'!C27 = '3.2 TAT ANALYSIS'!$R$131,
'7b. TB TX REGISTER - PL'!G21&lt;&gt;0,
'5b. PRESUMPTIVE REGISTER -  PL'!G27&lt;&gt;0),
'7b. TB TX REGISTER - PL'!G21 - '5b. PRESUMPTIVE REGISTER -  PL'!G27,"-")</f>
        <v>-</v>
      </c>
      <c r="S145" s="430" t="str">
        <f>IF(AND('5b. PRESUMPTIVE REGISTER -  PL'!C27 = '3.2 TAT ANALYSIS'!$Q$131,
'7b. TB TX REGISTER - PL'!G21&lt;&gt;0,
'5b. PRESUMPTIVE REGISTER -  PL'!G27&lt;&gt;0),
'7b. TB TX REGISTER - PL'!G21 - '5b. PRESUMPTIVE REGISTER -  PL'!G27,"-")</f>
        <v>-</v>
      </c>
      <c r="T145" s="437" t="str">
        <f>IF(AND('7b. TB TX REGISTER - PL'!G21&lt;&gt;0,
'5b. PRESUMPTIVE REGISTER -  PL'!G27&lt;&gt;0),
'7b. TB TX REGISTER - PL'!G21 - '5b. PRESUMPTIVE REGISTER -  PL'!G27,"-")</f>
        <v>-</v>
      </c>
    </row>
    <row r="146" spans="2:20" customFormat="1" ht="27.6" customHeight="1" x14ac:dyDescent="0.3">
      <c r="B146" s="111"/>
      <c r="C146" s="112"/>
      <c r="D146" s="112"/>
      <c r="E146" s="112"/>
      <c r="F146" s="112"/>
      <c r="G146" s="112"/>
      <c r="H146" s="112"/>
      <c r="I146" s="112"/>
      <c r="J146" s="112"/>
      <c r="K146" s="112"/>
      <c r="L146" s="112"/>
      <c r="M146" s="112"/>
      <c r="N146" s="421" t="s">
        <v>42</v>
      </c>
      <c r="O146" s="449" t="str">
        <f>IF(AND('5b. PRESUMPTIVE REGISTER -  PL'!C28 = '3.2 TAT ANALYSIS'!$O$131,
'7b. TB TX REGISTER - PL'!G22&lt;&gt;0,
'5b. PRESUMPTIVE REGISTER -  PL'!G28&lt;&gt;0),
'7b. TB TX REGISTER - PL'!G22 - '5b. PRESUMPTIVE REGISTER -  PL'!G28,"-")</f>
        <v>-</v>
      </c>
      <c r="P146" s="430" t="str">
        <f>IF(AND('5b. PRESUMPTIVE REGISTER -  PL'!C28 = '3.2 TAT ANALYSIS'!$P$131,
'7b. TB TX REGISTER - PL'!G22&lt;&gt;0,
'5b. PRESUMPTIVE REGISTER -  PL'!G28&lt;&gt;0),
'7b. TB TX REGISTER - PL'!G22 - '5b. PRESUMPTIVE REGISTER -  PL'!G28,"-")</f>
        <v>-</v>
      </c>
      <c r="Q146" s="430" t="str">
        <f>IF(AND('5b. PRESUMPTIVE REGISTER -  PL'!C28 = '3.2 TAT ANALYSIS'!$Q$131,
'7b. TB TX REGISTER - PL'!G22&lt;&gt;0,
'5b. PRESUMPTIVE REGISTER -  PL'!G28&lt;&gt;0),
'7b. TB TX REGISTER - PL'!G22 - '5b. PRESUMPTIVE REGISTER -  PL'!G28,"-")</f>
        <v>-</v>
      </c>
      <c r="R146" s="430" t="str">
        <f>IF(AND('5b. PRESUMPTIVE REGISTER -  PL'!C28 = '3.2 TAT ANALYSIS'!$R$131,
'7b. TB TX REGISTER - PL'!G22&lt;&gt;0,
'5b. PRESUMPTIVE REGISTER -  PL'!G28&lt;&gt;0),
'7b. TB TX REGISTER - PL'!G22 - '5b. PRESUMPTIVE REGISTER -  PL'!G28,"-")</f>
        <v>-</v>
      </c>
      <c r="S146" s="430" t="str">
        <f>IF(AND('5b. PRESUMPTIVE REGISTER -  PL'!C28 = '3.2 TAT ANALYSIS'!$Q$131,
'7b. TB TX REGISTER - PL'!G22&lt;&gt;0,
'5b. PRESUMPTIVE REGISTER -  PL'!G28&lt;&gt;0),
'7b. TB TX REGISTER - PL'!G22 - '5b. PRESUMPTIVE REGISTER -  PL'!G28,"-")</f>
        <v>-</v>
      </c>
      <c r="T146" s="437" t="str">
        <f>IF(AND('7b. TB TX REGISTER - PL'!G22&lt;&gt;0,
'5b. PRESUMPTIVE REGISTER -  PL'!G28&lt;&gt;0),
'7b. TB TX REGISTER - PL'!G22 - '5b. PRESUMPTIVE REGISTER -  PL'!G28,"-")</f>
        <v>-</v>
      </c>
    </row>
    <row r="147" spans="2:20" customFormat="1" ht="27.6" customHeight="1" x14ac:dyDescent="0.3">
      <c r="B147" s="111"/>
      <c r="C147" s="112"/>
      <c r="D147" s="112"/>
      <c r="E147" s="112"/>
      <c r="F147" s="112"/>
      <c r="G147" s="112"/>
      <c r="H147" s="112"/>
      <c r="I147" s="112"/>
      <c r="J147" s="112"/>
      <c r="K147" s="112"/>
      <c r="L147" s="112"/>
      <c r="M147" s="112"/>
      <c r="N147" s="421" t="s">
        <v>43</v>
      </c>
      <c r="O147" s="449" t="str">
        <f>IF(AND('5b. PRESUMPTIVE REGISTER -  PL'!C29 = '3.2 TAT ANALYSIS'!$O$131,
'7b. TB TX REGISTER - PL'!G23&lt;&gt;0,
'5b. PRESUMPTIVE REGISTER -  PL'!G29&lt;&gt;0),
'7b. TB TX REGISTER - PL'!G23 - '5b. PRESUMPTIVE REGISTER -  PL'!G29,"-")</f>
        <v>-</v>
      </c>
      <c r="P147" s="430" t="str">
        <f>IF(AND('5b. PRESUMPTIVE REGISTER -  PL'!C29 = '3.2 TAT ANALYSIS'!$P$131,
'7b. TB TX REGISTER - PL'!G23&lt;&gt;0,
'5b. PRESUMPTIVE REGISTER -  PL'!G29&lt;&gt;0),
'7b. TB TX REGISTER - PL'!G23 - '5b. PRESUMPTIVE REGISTER -  PL'!G29,"-")</f>
        <v>-</v>
      </c>
      <c r="Q147" s="430" t="str">
        <f>IF(AND('5b. PRESUMPTIVE REGISTER -  PL'!C29 = '3.2 TAT ANALYSIS'!$Q$131,
'7b. TB TX REGISTER - PL'!G23&lt;&gt;0,
'5b. PRESUMPTIVE REGISTER -  PL'!G29&lt;&gt;0),
'7b. TB TX REGISTER - PL'!G23 - '5b. PRESUMPTIVE REGISTER -  PL'!G29,"-")</f>
        <v>-</v>
      </c>
      <c r="R147" s="430" t="str">
        <f>IF(AND('5b. PRESUMPTIVE REGISTER -  PL'!C29 = '3.2 TAT ANALYSIS'!$R$131,
'7b. TB TX REGISTER - PL'!G23&lt;&gt;0,
'5b. PRESUMPTIVE REGISTER -  PL'!G29&lt;&gt;0),
'7b. TB TX REGISTER - PL'!G23 - '5b. PRESUMPTIVE REGISTER -  PL'!G29,"-")</f>
        <v>-</v>
      </c>
      <c r="S147" s="430" t="str">
        <f>IF(AND('5b. PRESUMPTIVE REGISTER -  PL'!C29 = '3.2 TAT ANALYSIS'!$Q$131,
'7b. TB TX REGISTER - PL'!G23&lt;&gt;0,
'5b. PRESUMPTIVE REGISTER -  PL'!G29&lt;&gt;0),
'7b. TB TX REGISTER - PL'!G23 - '5b. PRESUMPTIVE REGISTER -  PL'!G29,"-")</f>
        <v>-</v>
      </c>
      <c r="T147" s="437" t="str">
        <f>IF(AND('7b. TB TX REGISTER - PL'!G23&lt;&gt;0,
'5b. PRESUMPTIVE REGISTER -  PL'!G29&lt;&gt;0),
'7b. TB TX REGISTER - PL'!G23 - '5b. PRESUMPTIVE REGISTER -  PL'!G29,"-")</f>
        <v>-</v>
      </c>
    </row>
    <row r="148" spans="2:20" customFormat="1" ht="27.6" customHeight="1" x14ac:dyDescent="0.3">
      <c r="B148" s="111"/>
      <c r="C148" s="112"/>
      <c r="D148" s="112"/>
      <c r="E148" s="112"/>
      <c r="F148" s="112"/>
      <c r="G148" s="112"/>
      <c r="H148" s="112"/>
      <c r="I148" s="112"/>
      <c r="J148" s="112"/>
      <c r="K148" s="112"/>
      <c r="L148" s="112"/>
      <c r="M148" s="112"/>
      <c r="N148" s="421" t="s">
        <v>44</v>
      </c>
      <c r="O148" s="449" t="str">
        <f>IF(AND('5b. PRESUMPTIVE REGISTER -  PL'!C30 = '3.2 TAT ANALYSIS'!$O$131,
'7b. TB TX REGISTER - PL'!G24&lt;&gt;0,
'5b. PRESUMPTIVE REGISTER -  PL'!G30&lt;&gt;0),
'7b. TB TX REGISTER - PL'!G24 - '5b. PRESUMPTIVE REGISTER -  PL'!G30,"-")</f>
        <v>-</v>
      </c>
      <c r="P148" s="430" t="str">
        <f>IF(AND('5b. PRESUMPTIVE REGISTER -  PL'!C30 = '3.2 TAT ANALYSIS'!$P$131,
'7b. TB TX REGISTER - PL'!G24&lt;&gt;0,
'5b. PRESUMPTIVE REGISTER -  PL'!G30&lt;&gt;0),
'7b. TB TX REGISTER - PL'!G24 - '5b. PRESUMPTIVE REGISTER -  PL'!G30,"-")</f>
        <v>-</v>
      </c>
      <c r="Q148" s="430" t="str">
        <f>IF(AND('5b. PRESUMPTIVE REGISTER -  PL'!C30 = '3.2 TAT ANALYSIS'!$Q$131,
'7b. TB TX REGISTER - PL'!G24&lt;&gt;0,
'5b. PRESUMPTIVE REGISTER -  PL'!G30&lt;&gt;0),
'7b. TB TX REGISTER - PL'!G24 - '5b. PRESUMPTIVE REGISTER -  PL'!G30,"-")</f>
        <v>-</v>
      </c>
      <c r="R148" s="430" t="str">
        <f>IF(AND('5b. PRESUMPTIVE REGISTER -  PL'!C30 = '3.2 TAT ANALYSIS'!$R$131,
'7b. TB TX REGISTER - PL'!G24&lt;&gt;0,
'5b. PRESUMPTIVE REGISTER -  PL'!G30&lt;&gt;0),
'7b. TB TX REGISTER - PL'!G24 - '5b. PRESUMPTIVE REGISTER -  PL'!G30,"-")</f>
        <v>-</v>
      </c>
      <c r="S148" s="430" t="str">
        <f>IF(AND('5b. PRESUMPTIVE REGISTER -  PL'!C30 = '3.2 TAT ANALYSIS'!$Q$131,
'7b. TB TX REGISTER - PL'!G24&lt;&gt;0,
'5b. PRESUMPTIVE REGISTER -  PL'!G30&lt;&gt;0),
'7b. TB TX REGISTER - PL'!G24 - '5b. PRESUMPTIVE REGISTER -  PL'!G30,"-")</f>
        <v>-</v>
      </c>
      <c r="T148" s="437" t="str">
        <f>IF(AND('7b. TB TX REGISTER - PL'!G24&lt;&gt;0,
'5b. PRESUMPTIVE REGISTER -  PL'!G30&lt;&gt;0),
'7b. TB TX REGISTER - PL'!G24 - '5b. PRESUMPTIVE REGISTER -  PL'!G30,"-")</f>
        <v>-</v>
      </c>
    </row>
    <row r="149" spans="2:20" customFormat="1" ht="27.6" customHeight="1" x14ac:dyDescent="0.3">
      <c r="B149" s="111"/>
      <c r="C149" s="112"/>
      <c r="D149" s="112"/>
      <c r="E149" s="112"/>
      <c r="F149" s="112"/>
      <c r="G149" s="112"/>
      <c r="H149" s="112"/>
      <c r="I149" s="112"/>
      <c r="J149" s="112"/>
      <c r="K149" s="112"/>
      <c r="L149" s="112"/>
      <c r="M149" s="112"/>
      <c r="N149" s="421" t="s">
        <v>45</v>
      </c>
      <c r="O149" s="449" t="str">
        <f>IF(AND('5b. PRESUMPTIVE REGISTER -  PL'!C31 = '3.2 TAT ANALYSIS'!$O$131,
'7b. TB TX REGISTER - PL'!G25&lt;&gt;0,
'5b. PRESUMPTIVE REGISTER -  PL'!G31&lt;&gt;0),
'7b. TB TX REGISTER - PL'!G25 - '5b. PRESUMPTIVE REGISTER -  PL'!G31,"-")</f>
        <v>-</v>
      </c>
      <c r="P149" s="430" t="str">
        <f>IF(AND('5b. PRESUMPTIVE REGISTER -  PL'!C31 = '3.2 TAT ANALYSIS'!$P$131,
'7b. TB TX REGISTER - PL'!G25&lt;&gt;0,
'5b. PRESUMPTIVE REGISTER -  PL'!G31&lt;&gt;0),
'7b. TB TX REGISTER - PL'!G25 - '5b. PRESUMPTIVE REGISTER -  PL'!G31,"-")</f>
        <v>-</v>
      </c>
      <c r="Q149" s="430" t="str">
        <f>IF(AND('5b. PRESUMPTIVE REGISTER -  PL'!C31 = '3.2 TAT ANALYSIS'!$Q$131,
'7b. TB TX REGISTER - PL'!G25&lt;&gt;0,
'5b. PRESUMPTIVE REGISTER -  PL'!G31&lt;&gt;0),
'7b. TB TX REGISTER - PL'!G25 - '5b. PRESUMPTIVE REGISTER -  PL'!G31,"-")</f>
        <v>-</v>
      </c>
      <c r="R149" s="430" t="str">
        <f>IF(AND('5b. PRESUMPTIVE REGISTER -  PL'!C31 = '3.2 TAT ANALYSIS'!$R$131,
'7b. TB TX REGISTER - PL'!G25&lt;&gt;0,
'5b. PRESUMPTIVE REGISTER -  PL'!G31&lt;&gt;0),
'7b. TB TX REGISTER - PL'!G25 - '5b. PRESUMPTIVE REGISTER -  PL'!G31,"-")</f>
        <v>-</v>
      </c>
      <c r="S149" s="430" t="str">
        <f>IF(AND('5b. PRESUMPTIVE REGISTER -  PL'!C31 = '3.2 TAT ANALYSIS'!$Q$131,
'7b. TB TX REGISTER - PL'!G25&lt;&gt;0,
'5b. PRESUMPTIVE REGISTER -  PL'!G31&lt;&gt;0),
'7b. TB TX REGISTER - PL'!G25 - '5b. PRESUMPTIVE REGISTER -  PL'!G31,"-")</f>
        <v>-</v>
      </c>
      <c r="T149" s="437" t="str">
        <f>IF(AND('7b. TB TX REGISTER - PL'!G25&lt;&gt;0,
'5b. PRESUMPTIVE REGISTER -  PL'!G31&lt;&gt;0),
'7b. TB TX REGISTER - PL'!G25 - '5b. PRESUMPTIVE REGISTER -  PL'!G31,"-")</f>
        <v>-</v>
      </c>
    </row>
    <row r="150" spans="2:20" customFormat="1" ht="27.6" customHeight="1" x14ac:dyDescent="0.3">
      <c r="B150" s="111"/>
      <c r="C150" s="112"/>
      <c r="D150" s="112"/>
      <c r="E150" s="112"/>
      <c r="F150" s="112"/>
      <c r="G150" s="112"/>
      <c r="H150" s="112"/>
      <c r="I150" s="112"/>
      <c r="J150" s="112"/>
      <c r="K150" s="112"/>
      <c r="L150" s="112"/>
      <c r="M150" s="112"/>
      <c r="N150" s="421" t="s">
        <v>46</v>
      </c>
      <c r="O150" s="449" t="str">
        <f>IF(AND('5b. PRESUMPTIVE REGISTER -  PL'!C32 = '3.2 TAT ANALYSIS'!$O$131,
'7b. TB TX REGISTER - PL'!G26&lt;&gt;0,
'5b. PRESUMPTIVE REGISTER -  PL'!G32&lt;&gt;0),
'7b. TB TX REGISTER - PL'!G26 - '5b. PRESUMPTIVE REGISTER -  PL'!G32,"-")</f>
        <v>-</v>
      </c>
      <c r="P150" s="430" t="str">
        <f>IF(AND('5b. PRESUMPTIVE REGISTER -  PL'!C32 = '3.2 TAT ANALYSIS'!$P$131,
'7b. TB TX REGISTER - PL'!G26&lt;&gt;0,
'5b. PRESUMPTIVE REGISTER -  PL'!G32&lt;&gt;0),
'7b. TB TX REGISTER - PL'!G26 - '5b. PRESUMPTIVE REGISTER -  PL'!G32,"-")</f>
        <v>-</v>
      </c>
      <c r="Q150" s="430" t="str">
        <f>IF(AND('5b. PRESUMPTIVE REGISTER -  PL'!C32 = '3.2 TAT ANALYSIS'!$Q$131,
'7b. TB TX REGISTER - PL'!G26&lt;&gt;0,
'5b. PRESUMPTIVE REGISTER -  PL'!G32&lt;&gt;0),
'7b. TB TX REGISTER - PL'!G26 - '5b. PRESUMPTIVE REGISTER -  PL'!G32,"-")</f>
        <v>-</v>
      </c>
      <c r="R150" s="430" t="str">
        <f>IF(AND('5b. PRESUMPTIVE REGISTER -  PL'!C32 = '3.2 TAT ANALYSIS'!$R$131,
'7b. TB TX REGISTER - PL'!G26&lt;&gt;0,
'5b. PRESUMPTIVE REGISTER -  PL'!G32&lt;&gt;0),
'7b. TB TX REGISTER - PL'!G26 - '5b. PRESUMPTIVE REGISTER -  PL'!G32,"-")</f>
        <v>-</v>
      </c>
      <c r="S150" s="430" t="str">
        <f>IF(AND('5b. PRESUMPTIVE REGISTER -  PL'!C32 = '3.2 TAT ANALYSIS'!$Q$131,
'7b. TB TX REGISTER - PL'!G26&lt;&gt;0,
'5b. PRESUMPTIVE REGISTER -  PL'!G32&lt;&gt;0),
'7b. TB TX REGISTER - PL'!G26 - '5b. PRESUMPTIVE REGISTER -  PL'!G32,"-")</f>
        <v>-</v>
      </c>
      <c r="T150" s="437" t="str">
        <f>IF(AND('7b. TB TX REGISTER - PL'!G26&lt;&gt;0,
'5b. PRESUMPTIVE REGISTER -  PL'!G32&lt;&gt;0),
'7b. TB TX REGISTER - PL'!G26 - '5b. PRESUMPTIVE REGISTER -  PL'!G32,"-")</f>
        <v>-</v>
      </c>
    </row>
    <row r="151" spans="2:20" customFormat="1" ht="27.6" customHeight="1" x14ac:dyDescent="0.3">
      <c r="B151" s="111"/>
      <c r="C151" s="112"/>
      <c r="D151" s="112"/>
      <c r="E151" s="112"/>
      <c r="F151" s="112"/>
      <c r="G151" s="112"/>
      <c r="H151" s="112"/>
      <c r="I151" s="112"/>
      <c r="J151" s="112"/>
      <c r="K151" s="112"/>
      <c r="L151" s="112"/>
      <c r="M151" s="112"/>
      <c r="N151" s="421" t="s">
        <v>47</v>
      </c>
      <c r="O151" s="449" t="str">
        <f>IF(AND('5b. PRESUMPTIVE REGISTER -  PL'!C33 = '3.2 TAT ANALYSIS'!$O$131,
'7b. TB TX REGISTER - PL'!G27&lt;&gt;0,
'5b. PRESUMPTIVE REGISTER -  PL'!G33&lt;&gt;0),
'7b. TB TX REGISTER - PL'!G27 - '5b. PRESUMPTIVE REGISTER -  PL'!G33,"-")</f>
        <v>-</v>
      </c>
      <c r="P151" s="430" t="str">
        <f>IF(AND('5b. PRESUMPTIVE REGISTER -  PL'!C33 = '3.2 TAT ANALYSIS'!$P$131,
'7b. TB TX REGISTER - PL'!G27&lt;&gt;0,
'5b. PRESUMPTIVE REGISTER -  PL'!G33&lt;&gt;0),
'7b. TB TX REGISTER - PL'!G27 - '5b. PRESUMPTIVE REGISTER -  PL'!G33,"-")</f>
        <v>-</v>
      </c>
      <c r="Q151" s="430" t="str">
        <f>IF(AND('5b. PRESUMPTIVE REGISTER -  PL'!C33 = '3.2 TAT ANALYSIS'!$Q$131,
'7b. TB TX REGISTER - PL'!G27&lt;&gt;0,
'5b. PRESUMPTIVE REGISTER -  PL'!G33&lt;&gt;0),
'7b. TB TX REGISTER - PL'!G27 - '5b. PRESUMPTIVE REGISTER -  PL'!G33,"-")</f>
        <v>-</v>
      </c>
      <c r="R151" s="430" t="str">
        <f>IF(AND('5b. PRESUMPTIVE REGISTER -  PL'!C33 = '3.2 TAT ANALYSIS'!$R$131,
'7b. TB TX REGISTER - PL'!G27&lt;&gt;0,
'5b. PRESUMPTIVE REGISTER -  PL'!G33&lt;&gt;0),
'7b. TB TX REGISTER - PL'!G27 - '5b. PRESUMPTIVE REGISTER -  PL'!G33,"-")</f>
        <v>-</v>
      </c>
      <c r="S151" s="430" t="str">
        <f>IF(AND('5b. PRESUMPTIVE REGISTER -  PL'!C33 = '3.2 TAT ANALYSIS'!$Q$131,
'7b. TB TX REGISTER - PL'!G27&lt;&gt;0,
'5b. PRESUMPTIVE REGISTER -  PL'!G33&lt;&gt;0),
'7b. TB TX REGISTER - PL'!G27 - '5b. PRESUMPTIVE REGISTER -  PL'!G33,"-")</f>
        <v>-</v>
      </c>
      <c r="T151" s="437" t="str">
        <f>IF(AND('7b. TB TX REGISTER - PL'!G27&lt;&gt;0,
'5b. PRESUMPTIVE REGISTER -  PL'!G33&lt;&gt;0),
'7b. TB TX REGISTER - PL'!G27 - '5b. PRESUMPTIVE REGISTER -  PL'!G33,"-")</f>
        <v>-</v>
      </c>
    </row>
    <row r="152" spans="2:20" customFormat="1" ht="27.6" customHeight="1" thickBot="1" x14ac:dyDescent="0.35">
      <c r="B152" s="450"/>
      <c r="C152" s="451"/>
      <c r="D152" s="451"/>
      <c r="E152" s="451"/>
      <c r="F152" s="451"/>
      <c r="G152" s="451"/>
      <c r="H152" s="451"/>
      <c r="I152" s="451"/>
      <c r="J152" s="451"/>
      <c r="K152" s="451"/>
      <c r="L152" s="451"/>
      <c r="M152" s="451"/>
      <c r="N152" s="447" t="s">
        <v>92</v>
      </c>
      <c r="O152" s="443" t="str">
        <f>IF(ISNUMBER(AVERAGE('3.2 TAT ANALYSIS'!$O$132:$O$151)), SUMIF(O132:O151,"&gt;-1")/$O$153, "NA")</f>
        <v>NA</v>
      </c>
      <c r="P152" s="443" t="str">
        <f>IF(ISNUMBER(AVERAGE('3.2 TAT ANALYSIS'!$P$132:$P$151)), SUMIF(P132:P151,"&gt;-1")/$P$153, "NA")</f>
        <v>NA</v>
      </c>
      <c r="Q152" s="443" t="str">
        <f>IF(ISNUMBER(AVERAGE('3.2 TAT ANALYSIS'!$Q$132:$Q$151)), SUMIF(Q132:Q151,"&gt;-1")/$Q$153, "NA")</f>
        <v>NA</v>
      </c>
      <c r="R152" s="443" t="str">
        <f>IF(ISNUMBER(AVERAGE('3.2 TAT ANALYSIS'!$R$132:$R$151)), SUMIF(R132:R151,"&gt;-1")/$R$153, "NA")</f>
        <v>NA</v>
      </c>
      <c r="S152" s="443" t="str">
        <f>IF(ISNUMBER(AVERAGE('3.2 TAT ANALYSIS'!$S$132:$S$151)), SUMIF(S132:S151,"&gt;-1")/$S$153, "NA")</f>
        <v>NA</v>
      </c>
      <c r="T152" s="494" t="str">
        <f>IF(ISNUMBER(AVERAGE('3.2 TAT ANALYSIS'!$T$132:$T$151)), SUMIF(T132:T151,"&gt;-1")/$T$153, "NA")</f>
        <v>NA</v>
      </c>
    </row>
    <row r="153" spans="2:20" customFormat="1" ht="22.2" hidden="1" customHeight="1" x14ac:dyDescent="0.3">
      <c r="N153" s="508" t="s">
        <v>330</v>
      </c>
      <c r="O153" s="488">
        <f t="shared" ref="O153:T153" si="4">COUNTIF(O132:O151, "&lt;&gt;-")</f>
        <v>0</v>
      </c>
      <c r="P153" s="488">
        <f t="shared" si="4"/>
        <v>0</v>
      </c>
      <c r="Q153" s="488">
        <f t="shared" si="4"/>
        <v>0</v>
      </c>
      <c r="R153" s="488">
        <f t="shared" si="4"/>
        <v>0</v>
      </c>
      <c r="S153" s="488">
        <f t="shared" si="4"/>
        <v>0</v>
      </c>
      <c r="T153" s="488">
        <f t="shared" si="4"/>
        <v>0</v>
      </c>
    </row>
    <row r="154" spans="2:20" customFormat="1" ht="22.2" hidden="1" customHeight="1" x14ac:dyDescent="0.3">
      <c r="N154" s="458" t="s">
        <v>312</v>
      </c>
      <c r="O154" s="457">
        <f>MIN('3.2 TAT ANALYSIS'!$O$132:$O$151)</f>
        <v>0</v>
      </c>
      <c r="P154" s="457">
        <f>MIN('3.2 TAT ANALYSIS'!$P$132:$P$151)</f>
        <v>0</v>
      </c>
      <c r="Q154" s="457">
        <f>MIN('3.2 TAT ANALYSIS'!$Q$132:$Q$151)</f>
        <v>0</v>
      </c>
      <c r="R154" s="457">
        <f>MIN('3.2 TAT ANALYSIS'!$R$132:$R$151)</f>
        <v>0</v>
      </c>
      <c r="S154" s="457">
        <f>MIN('3.2 TAT ANALYSIS'!$S$132:$S$151)</f>
        <v>0</v>
      </c>
      <c r="T154" s="457">
        <f>MIN('3.2 TAT ANALYSIS'!$T$132:$T$151)</f>
        <v>0</v>
      </c>
    </row>
    <row r="155" spans="2:20" customFormat="1" ht="22.2" hidden="1" customHeight="1" x14ac:dyDescent="0.3">
      <c r="N155" s="459" t="s">
        <v>313</v>
      </c>
      <c r="O155" s="457" t="e">
        <f>AVERAGE('3.2 TAT ANALYSIS'!$O$132:$O$151)</f>
        <v>#DIV/0!</v>
      </c>
      <c r="P155" s="457" t="e">
        <f>AVERAGE('3.2 TAT ANALYSIS'!$P$132:$P$151)</f>
        <v>#DIV/0!</v>
      </c>
      <c r="Q155" s="457" t="e">
        <f>AVERAGE('3.2 TAT ANALYSIS'!$Q$132:$Q$151)</f>
        <v>#DIV/0!</v>
      </c>
      <c r="R155" s="457" t="e">
        <f>AVERAGE('3.2 TAT ANALYSIS'!$R$132:$R$151)</f>
        <v>#DIV/0!</v>
      </c>
      <c r="S155" s="457" t="e">
        <f>AVERAGE('3.2 TAT ANALYSIS'!$S$132:$S$151)</f>
        <v>#DIV/0!</v>
      </c>
      <c r="T155" s="457" t="e">
        <f>AVERAGE('3.2 TAT ANALYSIS'!$T$132:$T$151)</f>
        <v>#DIV/0!</v>
      </c>
    </row>
    <row r="156" spans="2:20" customFormat="1" ht="22.2" hidden="1" customHeight="1" x14ac:dyDescent="0.3">
      <c r="N156" s="459" t="s">
        <v>314</v>
      </c>
      <c r="O156" s="457">
        <f>MAX('3.2 TAT ANALYSIS'!$O$132:$O$151)</f>
        <v>0</v>
      </c>
      <c r="P156" s="457">
        <f>MAX('3.2 TAT ANALYSIS'!$P$132:$P$151)</f>
        <v>0</v>
      </c>
      <c r="Q156" s="457">
        <f>MAX('3.2 TAT ANALYSIS'!$Q$132:$Q$151)</f>
        <v>0</v>
      </c>
      <c r="R156" s="457">
        <f>MAX('3.2 TAT ANALYSIS'!$R$132:$R$151)</f>
        <v>0</v>
      </c>
      <c r="S156" s="457">
        <f>MAX('3.2 TAT ANALYSIS'!$S$132:$S$151)</f>
        <v>0</v>
      </c>
      <c r="T156" s="457">
        <f>MAX('3.2 TAT ANALYSIS'!$T$132:$T$151)</f>
        <v>0</v>
      </c>
    </row>
    <row r="157" spans="2:20" customFormat="1" ht="22.2" hidden="1" customHeight="1" x14ac:dyDescent="0.3">
      <c r="N157" s="459" t="s">
        <v>317</v>
      </c>
      <c r="O157" s="457">
        <f>IF(O152&lt;&gt;"NA", 3, VALUE("-1"))</f>
        <v>-1</v>
      </c>
      <c r="P157" s="457">
        <f>IF(P152&lt;&gt;"NA", 2.5, VALUE("-1"))</f>
        <v>-1</v>
      </c>
      <c r="Q157" s="457">
        <f>IF(Q152&lt;&gt;"NA", 2, VALUE("-1"))</f>
        <v>-1</v>
      </c>
      <c r="R157" s="457">
        <f>IF(R152&lt;&gt;"NA", 1.5, VALUE("-1"))</f>
        <v>-1</v>
      </c>
      <c r="S157" s="457">
        <f>IF(S152&lt;&gt;"NA", 1, VALUE("-1"))</f>
        <v>-1</v>
      </c>
      <c r="T157" s="457">
        <v>0.5</v>
      </c>
    </row>
    <row r="158" spans="2:20" customFormat="1" ht="22.2" hidden="1" customHeight="1" x14ac:dyDescent="0.3">
      <c r="N158" s="459" t="s">
        <v>318</v>
      </c>
      <c r="O158" s="457">
        <f>IF(O152&lt;&gt;"NA", 3, VALUE("-1"))</f>
        <v>-1</v>
      </c>
      <c r="P158" s="457">
        <f>IF(P152&lt;&gt;"NA", 2.5, VALUE("-1"))</f>
        <v>-1</v>
      </c>
      <c r="Q158" s="457">
        <f>IF(Q152&lt;&gt;"NA", 2, VALUE("-1"))</f>
        <v>-1</v>
      </c>
      <c r="R158" s="457">
        <f>IF(R152&lt;&gt;"NA", 1.5, VALUE("-1"))</f>
        <v>-1</v>
      </c>
      <c r="S158" s="457">
        <f>IF(S152&lt;&gt;"NA", 1, VALUE("-1"))</f>
        <v>-1</v>
      </c>
      <c r="T158" s="457">
        <v>0.5</v>
      </c>
    </row>
    <row r="159" spans="2:20" customFormat="1" ht="22.2" hidden="1" customHeight="1" x14ac:dyDescent="0.3">
      <c r="N159" s="459" t="s">
        <v>319</v>
      </c>
      <c r="O159" s="457">
        <f>IF(O152&lt;&gt;"NA", 3, VALUE("-1"))</f>
        <v>-1</v>
      </c>
      <c r="P159" s="457">
        <f>IF(P152&lt;&gt;"NA", 2.5, VALUE("-1"))</f>
        <v>-1</v>
      </c>
      <c r="Q159" s="457">
        <f>IF(Q152&lt;&gt;"NA", 2, VALUE("-1"))</f>
        <v>-1</v>
      </c>
      <c r="R159" s="457">
        <f>IF(R152&lt;&gt;"NA", 1.5, VALUE("-1"))</f>
        <v>-1</v>
      </c>
      <c r="S159" s="457">
        <f>IF(S152&lt;&gt;"NA", 1, VALUE("-1"))</f>
        <v>-1</v>
      </c>
      <c r="T159" s="457">
        <v>0.5</v>
      </c>
    </row>
    <row r="160" spans="2:20" customFormat="1" ht="22.2" customHeight="1" thickBot="1" x14ac:dyDescent="0.35"/>
    <row r="161" spans="2:20" customFormat="1" ht="48" customHeight="1" x14ac:dyDescent="0.3">
      <c r="B161" s="676" t="s">
        <v>311</v>
      </c>
      <c r="C161" s="677"/>
      <c r="D161" s="677"/>
      <c r="E161" s="677"/>
      <c r="F161" s="677"/>
      <c r="G161" s="677"/>
      <c r="H161" s="677"/>
      <c r="I161" s="677"/>
      <c r="J161" s="677"/>
      <c r="K161" s="677"/>
      <c r="L161" s="677"/>
      <c r="M161" s="677"/>
      <c r="N161" s="677"/>
      <c r="O161" s="677"/>
      <c r="P161" s="677"/>
      <c r="Q161" s="677"/>
      <c r="R161" s="677"/>
      <c r="S161" s="677"/>
      <c r="T161" s="678"/>
    </row>
    <row r="162" spans="2:20" customFormat="1" ht="27.6" customHeight="1" x14ac:dyDescent="0.3">
      <c r="B162" s="111"/>
      <c r="C162" s="112"/>
      <c r="D162" s="112"/>
      <c r="E162" s="112"/>
      <c r="F162" s="112"/>
      <c r="G162" s="112"/>
      <c r="H162" s="112"/>
      <c r="I162" s="112"/>
      <c r="J162" s="112"/>
      <c r="K162" s="112"/>
      <c r="L162" s="112"/>
      <c r="M162" s="112"/>
      <c r="N162" s="283" t="s">
        <v>190</v>
      </c>
      <c r="O162" s="283" t="str">
        <f>IF('1. ASSESSMENT PROFILE'!D38&lt;&gt;"", '1. ASSESSMENT PROFILE'!D38,"")</f>
        <v/>
      </c>
      <c r="P162" s="283" t="str">
        <f>IF('1. ASSESSMENT PROFILE'!D39&lt;&gt;"", '1. ASSESSMENT PROFILE'!D39,"")</f>
        <v/>
      </c>
      <c r="Q162" s="283" t="str">
        <f>IF('1. ASSESSMENT PROFILE'!D40&lt;&gt;"", '1. ASSESSMENT PROFILE'!D40,"")</f>
        <v/>
      </c>
      <c r="R162" s="283" t="str">
        <f>IF('1. ASSESSMENT PROFILE'!D41&lt;&gt;"", '1. ASSESSMENT PROFILE'!D41,"")</f>
        <v/>
      </c>
      <c r="S162" s="423" t="str">
        <f>IF('1. ASSESSMENT PROFILE'!D42&lt;&gt;"", '1. ASSESSMENT PROFILE'!D42,"")</f>
        <v/>
      </c>
      <c r="T162" s="435" t="s">
        <v>306</v>
      </c>
    </row>
    <row r="163" spans="2:20" customFormat="1" ht="27.6" customHeight="1" x14ac:dyDescent="0.3">
      <c r="B163" s="111"/>
      <c r="C163" s="112"/>
      <c r="D163" s="112"/>
      <c r="E163" s="112"/>
      <c r="F163" s="112"/>
      <c r="G163" s="112"/>
      <c r="H163" s="112"/>
      <c r="I163" s="112"/>
      <c r="J163" s="112"/>
      <c r="K163" s="112"/>
      <c r="L163" s="112"/>
      <c r="M163" s="112"/>
      <c r="N163" s="419" t="s">
        <v>9</v>
      </c>
      <c r="O163" s="449" t="str">
        <f>IF(AND('8b. TPT REGISTER - PL'!C8 = '3.2 TAT ANALYSIS'!$O$162,
'8b. TPT REGISTER - PL'!H8&lt;&gt;0,
'8b. TPT REGISTER - PL'!D8&lt;&gt;0),
'8b. TPT REGISTER - PL'!H8 - '8b. TPT REGISTER - PL'!D8, "-")</f>
        <v>-</v>
      </c>
      <c r="P163" s="449" t="str">
        <f>IF(AND('8b. TPT REGISTER - PL'!C8 = '3.2 TAT ANALYSIS'!$P$162,
'8b. TPT REGISTER - PL'!H8&lt;&gt;0,
'8b. TPT REGISTER - PL'!D8&lt;&gt;0),
'8b. TPT REGISTER - PL'!H8 - '8b. TPT REGISTER - PL'!D8, "-")</f>
        <v>-</v>
      </c>
      <c r="Q163" s="449" t="str">
        <f>IF(AND('8b. TPT REGISTER - PL'!C8 = '3.2 TAT ANALYSIS'!$Q$162,
'8b. TPT REGISTER - PL'!H8&lt;&gt;0,
'8b. TPT REGISTER - PL'!D8&lt;&gt;0),
'8b. TPT REGISTER - PL'!H8 - '8b. TPT REGISTER - PL'!D8, "-")</f>
        <v>-</v>
      </c>
      <c r="R163" s="449" t="str">
        <f>IF(AND('8b. TPT REGISTER - PL'!C8 = '3.2 TAT ANALYSIS'!$R$162,
'8b. TPT REGISTER - PL'!H8&lt;&gt;0,
'8b. TPT REGISTER - PL'!D8&lt;&gt;0),
'8b. TPT REGISTER - PL'!H8 - '8b. TPT REGISTER - PL'!D8, "-")</f>
        <v>-</v>
      </c>
      <c r="S163" s="449" t="str">
        <f>IF(AND('8b. TPT REGISTER - PL'!C8 = '3.2 TAT ANALYSIS'!$S$162,
'8b. TPT REGISTER - PL'!H8&lt;&gt;0,
'8b. TPT REGISTER - PL'!D8&lt;&gt;0),
'8b. TPT REGISTER - PL'!H8 - '8b. TPT REGISTER - PL'!D8, "-")</f>
        <v>-</v>
      </c>
      <c r="T163" s="516" t="str">
        <f>IF(AND('8b. TPT REGISTER - PL'!H8&lt;&gt;0,
'8b. TPT REGISTER - PL'!D8&lt;&gt;0),
'8b. TPT REGISTER - PL'!H8 - '8b. TPT REGISTER - PL'!D8, "-")</f>
        <v>-</v>
      </c>
    </row>
    <row r="164" spans="2:20" customFormat="1" ht="27.6" customHeight="1" x14ac:dyDescent="0.3">
      <c r="B164" s="111"/>
      <c r="C164" s="112"/>
      <c r="D164" s="112"/>
      <c r="E164" s="112"/>
      <c r="F164" s="112"/>
      <c r="G164" s="112"/>
      <c r="H164" s="112"/>
      <c r="I164" s="112"/>
      <c r="J164" s="112"/>
      <c r="K164" s="112"/>
      <c r="L164" s="112"/>
      <c r="M164" s="112"/>
      <c r="N164" s="421" t="s">
        <v>10</v>
      </c>
      <c r="O164" s="449" t="str">
        <f>IF(AND('8b. TPT REGISTER - PL'!C9 = '3.2 TAT ANALYSIS'!$O$162,
'8b. TPT REGISTER - PL'!H9&lt;&gt;0,
'8b. TPT REGISTER - PL'!D9&lt;&gt;0),
'8b. TPT REGISTER - PL'!H9 - '8b. TPT REGISTER - PL'!D9, "-")</f>
        <v>-</v>
      </c>
      <c r="P164" s="449" t="str">
        <f>IF(AND('8b. TPT REGISTER - PL'!C9 = '3.2 TAT ANALYSIS'!$P$162,
'8b. TPT REGISTER - PL'!H9&lt;&gt;0,
'8b. TPT REGISTER - PL'!D9&lt;&gt;0),
'8b. TPT REGISTER - PL'!H9 - '8b. TPT REGISTER - PL'!D9, "-")</f>
        <v>-</v>
      </c>
      <c r="Q164" s="449" t="str">
        <f>IF(AND('8b. TPT REGISTER - PL'!C9 = '3.2 TAT ANALYSIS'!$Q$162,
'8b. TPT REGISTER - PL'!H9&lt;&gt;0,
'8b. TPT REGISTER - PL'!D9&lt;&gt;0),
'8b. TPT REGISTER - PL'!H9 - '8b. TPT REGISTER - PL'!D9, "-")</f>
        <v>-</v>
      </c>
      <c r="R164" s="449" t="str">
        <f>IF(AND('8b. TPT REGISTER - PL'!C9 = '3.2 TAT ANALYSIS'!$R$162,
'8b. TPT REGISTER - PL'!H9&lt;&gt;0,
'8b. TPT REGISTER - PL'!D9&lt;&gt;0),
'8b. TPT REGISTER - PL'!H9 - '8b. TPT REGISTER - PL'!D9, "-")</f>
        <v>-</v>
      </c>
      <c r="S164" s="449" t="str">
        <f>IF(AND('8b. TPT REGISTER - PL'!C9 = '3.2 TAT ANALYSIS'!$S$162,
'8b. TPT REGISTER - PL'!H9&lt;&gt;0,
'8b. TPT REGISTER - PL'!D9&lt;&gt;0),
'8b. TPT REGISTER - PL'!H9 - '8b. TPT REGISTER - PL'!D9, "-")</f>
        <v>-</v>
      </c>
      <c r="T164" s="516" t="str">
        <f>IF(AND('8b. TPT REGISTER - PL'!H9&lt;&gt;0,
'8b. TPT REGISTER - PL'!D9&lt;&gt;0),
'8b. TPT REGISTER - PL'!H9 - '8b. TPT REGISTER - PL'!D9, "-")</f>
        <v>-</v>
      </c>
    </row>
    <row r="165" spans="2:20" customFormat="1" ht="27.6" customHeight="1" x14ac:dyDescent="0.3">
      <c r="B165" s="111"/>
      <c r="C165" s="112"/>
      <c r="D165" s="112"/>
      <c r="E165" s="112"/>
      <c r="F165" s="112"/>
      <c r="G165" s="112"/>
      <c r="H165" s="112"/>
      <c r="I165" s="112"/>
      <c r="J165" s="112"/>
      <c r="K165" s="112"/>
      <c r="L165" s="112"/>
      <c r="M165" s="112"/>
      <c r="N165" s="419" t="s">
        <v>11</v>
      </c>
      <c r="O165" s="449" t="str">
        <f>IF(AND('8b. TPT REGISTER - PL'!C10 = '3.2 TAT ANALYSIS'!$O$162,
'8b. TPT REGISTER - PL'!H10&lt;&gt;0,
'8b. TPT REGISTER - PL'!D10&lt;&gt;0),
'8b. TPT REGISTER - PL'!H10 - '8b. TPT REGISTER - PL'!D10, "-")</f>
        <v>-</v>
      </c>
      <c r="P165" s="449" t="str">
        <f>IF(AND('8b. TPT REGISTER - PL'!C10 = '3.2 TAT ANALYSIS'!$P$162,
'8b. TPT REGISTER - PL'!H10&lt;&gt;0,
'8b. TPT REGISTER - PL'!D10&lt;&gt;0),
'8b. TPT REGISTER - PL'!H10 - '8b. TPT REGISTER - PL'!D10, "-")</f>
        <v>-</v>
      </c>
      <c r="Q165" s="449" t="str">
        <f>IF(AND('8b. TPT REGISTER - PL'!C10 = '3.2 TAT ANALYSIS'!$Q$162,
'8b. TPT REGISTER - PL'!H10&lt;&gt;0,
'8b. TPT REGISTER - PL'!D10&lt;&gt;0),
'8b. TPT REGISTER - PL'!H10 - '8b. TPT REGISTER - PL'!D10, "-")</f>
        <v>-</v>
      </c>
      <c r="R165" s="449" t="str">
        <f>IF(AND('8b. TPT REGISTER - PL'!C10 = '3.2 TAT ANALYSIS'!$R$162,
'8b. TPT REGISTER - PL'!H10&lt;&gt;0,
'8b. TPT REGISTER - PL'!D10&lt;&gt;0),
'8b. TPT REGISTER - PL'!H10 - '8b. TPT REGISTER - PL'!D10, "-")</f>
        <v>-</v>
      </c>
      <c r="S165" s="449" t="str">
        <f>IF(AND('8b. TPT REGISTER - PL'!C10 = '3.2 TAT ANALYSIS'!$S$162,
'8b. TPT REGISTER - PL'!H10&lt;&gt;0,
'8b. TPT REGISTER - PL'!D10&lt;&gt;0),
'8b. TPT REGISTER - PL'!H10 - '8b. TPT REGISTER - PL'!D10, "-")</f>
        <v>-</v>
      </c>
      <c r="T165" s="516" t="str">
        <f>IF(AND('8b. TPT REGISTER - PL'!H10&lt;&gt;0,
'8b. TPT REGISTER - PL'!D10&lt;&gt;0),
'8b. TPT REGISTER - PL'!H10 - '8b. TPT REGISTER - PL'!D10, "-")</f>
        <v>-</v>
      </c>
    </row>
    <row r="166" spans="2:20" customFormat="1" ht="27.6" customHeight="1" x14ac:dyDescent="0.3">
      <c r="B166" s="111"/>
      <c r="C166" s="112"/>
      <c r="D166" s="112"/>
      <c r="E166" s="112"/>
      <c r="F166" s="112"/>
      <c r="G166" s="112"/>
      <c r="H166" s="112"/>
      <c r="I166" s="112"/>
      <c r="J166" s="112"/>
      <c r="K166" s="112"/>
      <c r="L166" s="112"/>
      <c r="M166" s="112"/>
      <c r="N166" s="419" t="s">
        <v>12</v>
      </c>
      <c r="O166" s="449" t="str">
        <f>IF(AND('8b. TPT REGISTER - PL'!C11 = '3.2 TAT ANALYSIS'!$O$162,
'8b. TPT REGISTER - PL'!H11&lt;&gt;0,
'8b. TPT REGISTER - PL'!D11&lt;&gt;0),
'8b. TPT REGISTER - PL'!H11 - '8b. TPT REGISTER - PL'!D11, "-")</f>
        <v>-</v>
      </c>
      <c r="P166" s="449" t="str">
        <f>IF(AND('8b. TPT REGISTER - PL'!C11 = '3.2 TAT ANALYSIS'!$P$162,
'8b. TPT REGISTER - PL'!H11&lt;&gt;0,
'8b. TPT REGISTER - PL'!D11&lt;&gt;0),
'8b. TPT REGISTER - PL'!H11 - '8b. TPT REGISTER - PL'!D11, "-")</f>
        <v>-</v>
      </c>
      <c r="Q166" s="449" t="str">
        <f>IF(AND('8b. TPT REGISTER - PL'!C11 = '3.2 TAT ANALYSIS'!$Q$162,
'8b. TPT REGISTER - PL'!H11&lt;&gt;0,
'8b. TPT REGISTER - PL'!D11&lt;&gt;0),
'8b. TPT REGISTER - PL'!H11 - '8b. TPT REGISTER - PL'!D11, "-")</f>
        <v>-</v>
      </c>
      <c r="R166" s="449" t="str">
        <f>IF(AND('8b. TPT REGISTER - PL'!C11 = '3.2 TAT ANALYSIS'!$R$162,
'8b. TPT REGISTER - PL'!H11&lt;&gt;0,
'8b. TPT REGISTER - PL'!D11&lt;&gt;0),
'8b. TPT REGISTER - PL'!H11 - '8b. TPT REGISTER - PL'!D11, "-")</f>
        <v>-</v>
      </c>
      <c r="S166" s="449" t="str">
        <f>IF(AND('8b. TPT REGISTER - PL'!C11 = '3.2 TAT ANALYSIS'!$S$162,
'8b. TPT REGISTER - PL'!H11&lt;&gt;0,
'8b. TPT REGISTER - PL'!D11&lt;&gt;0),
'8b. TPT REGISTER - PL'!H11 - '8b. TPT REGISTER - PL'!D11, "-")</f>
        <v>-</v>
      </c>
      <c r="T166" s="516" t="str">
        <f>IF(AND('8b. TPT REGISTER - PL'!H11&lt;&gt;0,
'8b. TPT REGISTER - PL'!D11&lt;&gt;0),
'8b. TPT REGISTER - PL'!H11 - '8b. TPT REGISTER - PL'!D11, "-")</f>
        <v>-</v>
      </c>
    </row>
    <row r="167" spans="2:20" customFormat="1" ht="27.6" customHeight="1" x14ac:dyDescent="0.3">
      <c r="B167" s="111"/>
      <c r="C167" s="112"/>
      <c r="D167" s="112"/>
      <c r="E167" s="112"/>
      <c r="F167" s="112"/>
      <c r="G167" s="112"/>
      <c r="H167" s="112"/>
      <c r="I167" s="112"/>
      <c r="J167" s="112"/>
      <c r="K167" s="112"/>
      <c r="L167" s="112"/>
      <c r="M167" s="112"/>
      <c r="N167" s="419" t="s">
        <v>32</v>
      </c>
      <c r="O167" s="449" t="str">
        <f>IF(AND('8b. TPT REGISTER - PL'!C12 = '3.2 TAT ANALYSIS'!$O$162,
'8b. TPT REGISTER - PL'!H12&lt;&gt;0,
'8b. TPT REGISTER - PL'!D12&lt;&gt;0),
'8b. TPT REGISTER - PL'!H12 - '8b. TPT REGISTER - PL'!D12, "-")</f>
        <v>-</v>
      </c>
      <c r="P167" s="449" t="str">
        <f>IF(AND('8b. TPT REGISTER - PL'!C12 = '3.2 TAT ANALYSIS'!$P$162,
'8b. TPT REGISTER - PL'!H12&lt;&gt;0,
'8b. TPT REGISTER - PL'!D12&lt;&gt;0),
'8b. TPT REGISTER - PL'!H12 - '8b. TPT REGISTER - PL'!D12, "-")</f>
        <v>-</v>
      </c>
      <c r="Q167" s="449" t="str">
        <f>IF(AND('8b. TPT REGISTER - PL'!C12 = '3.2 TAT ANALYSIS'!$Q$162,
'8b. TPT REGISTER - PL'!H12&lt;&gt;0,
'8b. TPT REGISTER - PL'!D12&lt;&gt;0),
'8b. TPT REGISTER - PL'!H12 - '8b. TPT REGISTER - PL'!D12, "-")</f>
        <v>-</v>
      </c>
      <c r="R167" s="449" t="str">
        <f>IF(AND('8b. TPT REGISTER - PL'!C12 = '3.2 TAT ANALYSIS'!$R$162,
'8b. TPT REGISTER - PL'!H12&lt;&gt;0,
'8b. TPT REGISTER - PL'!D12&lt;&gt;0),
'8b. TPT REGISTER - PL'!H12 - '8b. TPT REGISTER - PL'!D12, "-")</f>
        <v>-</v>
      </c>
      <c r="S167" s="449" t="str">
        <f>IF(AND('8b. TPT REGISTER - PL'!C12 = '3.2 TAT ANALYSIS'!$S$162,
'8b. TPT REGISTER - PL'!H12&lt;&gt;0,
'8b. TPT REGISTER - PL'!D12&lt;&gt;0),
'8b. TPT REGISTER - PL'!H12 - '8b. TPT REGISTER - PL'!D12, "-")</f>
        <v>-</v>
      </c>
      <c r="T167" s="516" t="str">
        <f>IF(AND('8b. TPT REGISTER - PL'!H12&lt;&gt;0,
'8b. TPT REGISTER - PL'!D12&lt;&gt;0),
'8b. TPT REGISTER - PL'!H12 - '8b. TPT REGISTER - PL'!D12, "-")</f>
        <v>-</v>
      </c>
    </row>
    <row r="168" spans="2:20" customFormat="1" ht="27.6" customHeight="1" x14ac:dyDescent="0.3">
      <c r="B168" s="111"/>
      <c r="C168" s="112"/>
      <c r="D168" s="112"/>
      <c r="E168" s="112"/>
      <c r="F168" s="112"/>
      <c r="G168" s="112"/>
      <c r="H168" s="112"/>
      <c r="I168" s="112"/>
      <c r="J168" s="112"/>
      <c r="K168" s="112"/>
      <c r="L168" s="112"/>
      <c r="M168" s="112"/>
      <c r="N168" s="419" t="s">
        <v>33</v>
      </c>
      <c r="O168" s="449" t="str">
        <f>IF(AND('8b. TPT REGISTER - PL'!C13 = '3.2 TAT ANALYSIS'!$O$162,
'8b. TPT REGISTER - PL'!H13&lt;&gt;0,
'8b. TPT REGISTER - PL'!D13&lt;&gt;0),
'8b. TPT REGISTER - PL'!H13 - '8b. TPT REGISTER - PL'!D13, "-")</f>
        <v>-</v>
      </c>
      <c r="P168" s="449" t="str">
        <f>IF(AND('8b. TPT REGISTER - PL'!C13 = '3.2 TAT ANALYSIS'!$P$162,
'8b. TPT REGISTER - PL'!H13&lt;&gt;0,
'8b. TPT REGISTER - PL'!D13&lt;&gt;0),
'8b. TPT REGISTER - PL'!H13 - '8b. TPT REGISTER - PL'!D13, "-")</f>
        <v>-</v>
      </c>
      <c r="Q168" s="449" t="str">
        <f>IF(AND('8b. TPT REGISTER - PL'!C13 = '3.2 TAT ANALYSIS'!$Q$162,
'8b. TPT REGISTER - PL'!H13&lt;&gt;0,
'8b. TPT REGISTER - PL'!D13&lt;&gt;0),
'8b. TPT REGISTER - PL'!H13 - '8b. TPT REGISTER - PL'!D13, "-")</f>
        <v>-</v>
      </c>
      <c r="R168" s="449" t="str">
        <f>IF(AND('8b. TPT REGISTER - PL'!C13 = '3.2 TAT ANALYSIS'!$R$162,
'8b. TPT REGISTER - PL'!H13&lt;&gt;0,
'8b. TPT REGISTER - PL'!D13&lt;&gt;0),
'8b. TPT REGISTER - PL'!H13 - '8b. TPT REGISTER - PL'!D13, "-")</f>
        <v>-</v>
      </c>
      <c r="S168" s="449" t="str">
        <f>IF(AND('8b. TPT REGISTER - PL'!C13 = '3.2 TAT ANALYSIS'!$S$162,
'8b. TPT REGISTER - PL'!H13&lt;&gt;0,
'8b. TPT REGISTER - PL'!D13&lt;&gt;0),
'8b. TPT REGISTER - PL'!H13 - '8b. TPT REGISTER - PL'!D13, "-")</f>
        <v>-</v>
      </c>
      <c r="T168" s="516" t="str">
        <f>IF(AND('8b. TPT REGISTER - PL'!H13&lt;&gt;0,
'8b. TPT REGISTER - PL'!D13&lt;&gt;0),
'8b. TPT REGISTER - PL'!H13 - '8b. TPT REGISTER - PL'!D13, "-")</f>
        <v>-</v>
      </c>
    </row>
    <row r="169" spans="2:20" customFormat="1" ht="27.6" customHeight="1" x14ac:dyDescent="0.3">
      <c r="B169" s="111"/>
      <c r="C169" s="112"/>
      <c r="D169" s="112"/>
      <c r="E169" s="112"/>
      <c r="F169" s="112"/>
      <c r="G169" s="112"/>
      <c r="H169" s="112"/>
      <c r="I169" s="112"/>
      <c r="J169" s="112"/>
      <c r="K169" s="112"/>
      <c r="L169" s="112"/>
      <c r="M169" s="112"/>
      <c r="N169" s="419" t="s">
        <v>34</v>
      </c>
      <c r="O169" s="449" t="str">
        <f>IF(AND('8b. TPT REGISTER - PL'!C14 = '3.2 TAT ANALYSIS'!$O$162,
'8b. TPT REGISTER - PL'!H14&lt;&gt;0,
'8b. TPT REGISTER - PL'!D14&lt;&gt;0),
'8b. TPT REGISTER - PL'!H14 - '8b. TPT REGISTER - PL'!D14, "-")</f>
        <v>-</v>
      </c>
      <c r="P169" s="449" t="str">
        <f>IF(AND('8b. TPT REGISTER - PL'!C14 = '3.2 TAT ANALYSIS'!$P$162,
'8b. TPT REGISTER - PL'!H14&lt;&gt;0,
'8b. TPT REGISTER - PL'!D14&lt;&gt;0),
'8b. TPT REGISTER - PL'!H14 - '8b. TPT REGISTER - PL'!D14, "-")</f>
        <v>-</v>
      </c>
      <c r="Q169" s="449" t="str">
        <f>IF(AND('8b. TPT REGISTER - PL'!C14 = '3.2 TAT ANALYSIS'!$Q$162,
'8b. TPT REGISTER - PL'!H14&lt;&gt;0,
'8b. TPT REGISTER - PL'!D14&lt;&gt;0),
'8b. TPT REGISTER - PL'!H14 - '8b. TPT REGISTER - PL'!D14, "-")</f>
        <v>-</v>
      </c>
      <c r="R169" s="449" t="str">
        <f>IF(AND('8b. TPT REGISTER - PL'!C14 = '3.2 TAT ANALYSIS'!$R$162,
'8b. TPT REGISTER - PL'!H14&lt;&gt;0,
'8b. TPT REGISTER - PL'!D14&lt;&gt;0),
'8b. TPT REGISTER - PL'!H14 - '8b. TPT REGISTER - PL'!D14, "-")</f>
        <v>-</v>
      </c>
      <c r="S169" s="449" t="str">
        <f>IF(AND('8b. TPT REGISTER - PL'!C14 = '3.2 TAT ANALYSIS'!$S$162,
'8b. TPT REGISTER - PL'!H14&lt;&gt;0,
'8b. TPT REGISTER - PL'!D14&lt;&gt;0),
'8b. TPT REGISTER - PL'!H14 - '8b. TPT REGISTER - PL'!D14, "-")</f>
        <v>-</v>
      </c>
      <c r="T169" s="516" t="str">
        <f>IF(AND('8b. TPT REGISTER - PL'!H14&lt;&gt;0,
'8b. TPT REGISTER - PL'!D14&lt;&gt;0),
'8b. TPT REGISTER - PL'!H14 - '8b. TPT REGISTER - PL'!D14, "-")</f>
        <v>-</v>
      </c>
    </row>
    <row r="170" spans="2:20" ht="27.6" customHeight="1" x14ac:dyDescent="0.3">
      <c r="B170" s="344"/>
      <c r="C170" s="7"/>
      <c r="D170" s="7"/>
      <c r="E170" s="7"/>
      <c r="F170" s="7"/>
      <c r="G170" s="472"/>
      <c r="H170" s="472"/>
      <c r="I170" s="472"/>
      <c r="J170" s="472"/>
      <c r="K170" s="472"/>
      <c r="L170" s="472"/>
      <c r="M170" s="472"/>
      <c r="N170" s="419" t="s">
        <v>35</v>
      </c>
      <c r="O170" s="449" t="str">
        <f>IF(AND('8b. TPT REGISTER - PL'!C15 = '3.2 TAT ANALYSIS'!$O$162,
'8b. TPT REGISTER - PL'!H15&lt;&gt;0,
'8b. TPT REGISTER - PL'!D15&lt;&gt;0),
'8b. TPT REGISTER - PL'!H15 - '8b. TPT REGISTER - PL'!D15, "-")</f>
        <v>-</v>
      </c>
      <c r="P170" s="449" t="str">
        <f>IF(AND('8b. TPT REGISTER - PL'!C15 = '3.2 TAT ANALYSIS'!$P$162,
'8b. TPT REGISTER - PL'!H15&lt;&gt;0,
'8b. TPT REGISTER - PL'!D15&lt;&gt;0),
'8b. TPT REGISTER - PL'!H15 - '8b. TPT REGISTER - PL'!D15, "-")</f>
        <v>-</v>
      </c>
      <c r="Q170" s="449" t="str">
        <f>IF(AND('8b. TPT REGISTER - PL'!C15 = '3.2 TAT ANALYSIS'!$Q$162,
'8b. TPT REGISTER - PL'!H15&lt;&gt;0,
'8b. TPT REGISTER - PL'!D15&lt;&gt;0),
'8b. TPT REGISTER - PL'!H15 - '8b. TPT REGISTER - PL'!D15, "-")</f>
        <v>-</v>
      </c>
      <c r="R170" s="449" t="str">
        <f>IF(AND('8b. TPT REGISTER - PL'!C15 = '3.2 TAT ANALYSIS'!$R$162,
'8b. TPT REGISTER - PL'!H15&lt;&gt;0,
'8b. TPT REGISTER - PL'!D15&lt;&gt;0),
'8b. TPT REGISTER - PL'!H15 - '8b. TPT REGISTER - PL'!D15, "-")</f>
        <v>-</v>
      </c>
      <c r="S170" s="449" t="str">
        <f>IF(AND('8b. TPT REGISTER - PL'!C15 = '3.2 TAT ANALYSIS'!$S$162,
'8b. TPT REGISTER - PL'!H15&lt;&gt;0,
'8b. TPT REGISTER - PL'!D15&lt;&gt;0),
'8b. TPT REGISTER - PL'!H15 - '8b. TPT REGISTER - PL'!D15, "-")</f>
        <v>-</v>
      </c>
      <c r="T170" s="516" t="str">
        <f>IF(AND('8b. TPT REGISTER - PL'!H15&lt;&gt;0,
'8b. TPT REGISTER - PL'!D15&lt;&gt;0),
'8b. TPT REGISTER - PL'!H15 - '8b. TPT REGISTER - PL'!D15, "-")</f>
        <v>-</v>
      </c>
    </row>
    <row r="171" spans="2:20" ht="27.6" customHeight="1" x14ac:dyDescent="0.3">
      <c r="B171" s="344"/>
      <c r="C171" s="7"/>
      <c r="D171" s="7"/>
      <c r="E171" s="7"/>
      <c r="F171" s="7"/>
      <c r="G171" s="472"/>
      <c r="H171" s="472"/>
      <c r="I171" s="472"/>
      <c r="J171" s="472"/>
      <c r="K171" s="472"/>
      <c r="L171" s="472"/>
      <c r="M171" s="472"/>
      <c r="N171" s="419" t="s">
        <v>36</v>
      </c>
      <c r="O171" s="449" t="str">
        <f>IF(AND('8b. TPT REGISTER - PL'!C16 = '3.2 TAT ANALYSIS'!$O$162,
'8b. TPT REGISTER - PL'!H16&lt;&gt;0,
'8b. TPT REGISTER - PL'!D16&lt;&gt;0),
'8b. TPT REGISTER - PL'!H16 - '8b. TPT REGISTER - PL'!D16, "-")</f>
        <v>-</v>
      </c>
      <c r="P171" s="449" t="str">
        <f>IF(AND('8b. TPT REGISTER - PL'!C16 = '3.2 TAT ANALYSIS'!$P$162,
'8b. TPT REGISTER - PL'!H16&lt;&gt;0,
'8b. TPT REGISTER - PL'!D16&lt;&gt;0),
'8b. TPT REGISTER - PL'!H16 - '8b. TPT REGISTER - PL'!D16, "-")</f>
        <v>-</v>
      </c>
      <c r="Q171" s="449" t="str">
        <f>IF(AND('8b. TPT REGISTER - PL'!C16 = '3.2 TAT ANALYSIS'!$Q$162,
'8b. TPT REGISTER - PL'!H16&lt;&gt;0,
'8b. TPT REGISTER - PL'!D16&lt;&gt;0),
'8b. TPT REGISTER - PL'!H16 - '8b. TPT REGISTER - PL'!D16, "-")</f>
        <v>-</v>
      </c>
      <c r="R171" s="449" t="str">
        <f>IF(AND('8b. TPT REGISTER - PL'!C16 = '3.2 TAT ANALYSIS'!$R$162,
'8b. TPT REGISTER - PL'!H16&lt;&gt;0,
'8b. TPT REGISTER - PL'!D16&lt;&gt;0),
'8b. TPT REGISTER - PL'!H16 - '8b. TPT REGISTER - PL'!D16, "-")</f>
        <v>-</v>
      </c>
      <c r="S171" s="449" t="str">
        <f>IF(AND('8b. TPT REGISTER - PL'!C16 = '3.2 TAT ANALYSIS'!$S$162,
'8b. TPT REGISTER - PL'!H16&lt;&gt;0,
'8b. TPT REGISTER - PL'!D16&lt;&gt;0),
'8b. TPT REGISTER - PL'!H16 - '8b. TPT REGISTER - PL'!D16, "-")</f>
        <v>-</v>
      </c>
      <c r="T171" s="516" t="str">
        <f>IF(AND('8b. TPT REGISTER - PL'!H16&lt;&gt;0,
'8b. TPT REGISTER - PL'!D16&lt;&gt;0),
'8b. TPT REGISTER - PL'!H16 - '8b. TPT REGISTER - PL'!D16, "-")</f>
        <v>-</v>
      </c>
    </row>
    <row r="172" spans="2:20" ht="27.6" customHeight="1" x14ac:dyDescent="0.3">
      <c r="B172" s="344"/>
      <c r="C172" s="7"/>
      <c r="D172" s="7"/>
      <c r="E172" s="7"/>
      <c r="F172" s="7"/>
      <c r="G172" s="472"/>
      <c r="H172" s="472"/>
      <c r="I172" s="472"/>
      <c r="J172" s="472"/>
      <c r="K172" s="472"/>
      <c r="L172" s="472"/>
      <c r="M172" s="472"/>
      <c r="N172" s="419" t="s">
        <v>37</v>
      </c>
      <c r="O172" s="449" t="str">
        <f>IF(AND('8b. TPT REGISTER - PL'!C17 = '3.2 TAT ANALYSIS'!$O$162,
'8b. TPT REGISTER - PL'!H17&lt;&gt;0,
'8b. TPT REGISTER - PL'!D17&lt;&gt;0),
'8b. TPT REGISTER - PL'!H17 - '8b. TPT REGISTER - PL'!D17, "-")</f>
        <v>-</v>
      </c>
      <c r="P172" s="449" t="str">
        <f>IF(AND('8b. TPT REGISTER - PL'!C17 = '3.2 TAT ANALYSIS'!$P$162,
'8b. TPT REGISTER - PL'!H17&lt;&gt;0,
'8b. TPT REGISTER - PL'!D17&lt;&gt;0),
'8b. TPT REGISTER - PL'!H17 - '8b. TPT REGISTER - PL'!D17, "-")</f>
        <v>-</v>
      </c>
      <c r="Q172" s="449" t="str">
        <f>IF(AND('8b. TPT REGISTER - PL'!C17 = '3.2 TAT ANALYSIS'!$Q$162,
'8b. TPT REGISTER - PL'!H17&lt;&gt;0,
'8b. TPT REGISTER - PL'!D17&lt;&gt;0),
'8b. TPT REGISTER - PL'!H17 - '8b. TPT REGISTER - PL'!D17, "-")</f>
        <v>-</v>
      </c>
      <c r="R172" s="449" t="str">
        <f>IF(AND('8b. TPT REGISTER - PL'!C17 = '3.2 TAT ANALYSIS'!$R$162,
'8b. TPT REGISTER - PL'!H17&lt;&gt;0,
'8b. TPT REGISTER - PL'!D17&lt;&gt;0),
'8b. TPT REGISTER - PL'!H17 - '8b. TPT REGISTER - PL'!D17, "-")</f>
        <v>-</v>
      </c>
      <c r="S172" s="449" t="str">
        <f>IF(AND('8b. TPT REGISTER - PL'!C17 = '3.2 TAT ANALYSIS'!$S$162,
'8b. TPT REGISTER - PL'!H17&lt;&gt;0,
'8b. TPT REGISTER - PL'!D17&lt;&gt;0),
'8b. TPT REGISTER - PL'!H17 - '8b. TPT REGISTER - PL'!D17, "-")</f>
        <v>-</v>
      </c>
      <c r="T172" s="516" t="str">
        <f>IF(AND('8b. TPT REGISTER - PL'!H17&lt;&gt;0,
'8b. TPT REGISTER - PL'!D17&lt;&gt;0),
'8b. TPT REGISTER - PL'!H17 - '8b. TPT REGISTER - PL'!D17, "-")</f>
        <v>-</v>
      </c>
    </row>
    <row r="173" spans="2:20" ht="27.6" customHeight="1" x14ac:dyDescent="0.3">
      <c r="B173" s="344"/>
      <c r="C173" s="7"/>
      <c r="D173" s="7"/>
      <c r="E173" s="7"/>
      <c r="F173" s="7"/>
      <c r="G173" s="472"/>
      <c r="H173" s="472"/>
      <c r="I173" s="472"/>
      <c r="J173" s="472"/>
      <c r="K173" s="472"/>
      <c r="L173" s="472"/>
      <c r="M173" s="472"/>
      <c r="N173" s="419" t="s">
        <v>38</v>
      </c>
      <c r="O173" s="449" t="str">
        <f>IF(AND('8b. TPT REGISTER - PL'!C18 = '3.2 TAT ANALYSIS'!$O$162,
'8b. TPT REGISTER - PL'!H18&lt;&gt;0,
'8b. TPT REGISTER - PL'!D18&lt;&gt;0),
'8b. TPT REGISTER - PL'!H18 - '8b. TPT REGISTER - PL'!D18, "-")</f>
        <v>-</v>
      </c>
      <c r="P173" s="449" t="str">
        <f>IF(AND('8b. TPT REGISTER - PL'!C18 = '3.2 TAT ANALYSIS'!$P$162,
'8b. TPT REGISTER - PL'!H18&lt;&gt;0,
'8b. TPT REGISTER - PL'!D18&lt;&gt;0),
'8b. TPT REGISTER - PL'!H18 - '8b. TPT REGISTER - PL'!D18, "-")</f>
        <v>-</v>
      </c>
      <c r="Q173" s="449" t="str">
        <f>IF(AND('8b. TPT REGISTER - PL'!C18 = '3.2 TAT ANALYSIS'!$Q$162,
'8b. TPT REGISTER - PL'!H18&lt;&gt;0,
'8b. TPT REGISTER - PL'!D18&lt;&gt;0),
'8b. TPT REGISTER - PL'!H18 - '8b. TPT REGISTER - PL'!D18, "-")</f>
        <v>-</v>
      </c>
      <c r="R173" s="449" t="str">
        <f>IF(AND('8b. TPT REGISTER - PL'!C18 = '3.2 TAT ANALYSIS'!$R$162,
'8b. TPT REGISTER - PL'!H18&lt;&gt;0,
'8b. TPT REGISTER - PL'!D18&lt;&gt;0),
'8b. TPT REGISTER - PL'!H18 - '8b. TPT REGISTER - PL'!D18, "-")</f>
        <v>-</v>
      </c>
      <c r="S173" s="449" t="str">
        <f>IF(AND('8b. TPT REGISTER - PL'!C18 = '3.2 TAT ANALYSIS'!$S$162,
'8b. TPT REGISTER - PL'!H18&lt;&gt;0,
'8b. TPT REGISTER - PL'!D18&lt;&gt;0),
'8b. TPT REGISTER - PL'!H18 - '8b. TPT REGISTER - PL'!D18, "-")</f>
        <v>-</v>
      </c>
      <c r="T173" s="516" t="str">
        <f>IF(AND('8b. TPT REGISTER - PL'!H18&lt;&gt;0,
'8b. TPT REGISTER - PL'!D18&lt;&gt;0),
'8b. TPT REGISTER - PL'!H18 - '8b. TPT REGISTER - PL'!D18, "-")</f>
        <v>-</v>
      </c>
    </row>
    <row r="174" spans="2:20" ht="27.6" customHeight="1" x14ac:dyDescent="0.3">
      <c r="B174" s="344"/>
      <c r="C174" s="7"/>
      <c r="D174" s="7"/>
      <c r="E174" s="7"/>
      <c r="F174" s="7"/>
      <c r="G174" s="472"/>
      <c r="H174" s="472"/>
      <c r="I174" s="472"/>
      <c r="J174" s="472"/>
      <c r="K174" s="472"/>
      <c r="L174" s="472"/>
      <c r="M174" s="472"/>
      <c r="N174" s="419" t="s">
        <v>39</v>
      </c>
      <c r="O174" s="449" t="str">
        <f>IF(AND('8b. TPT REGISTER - PL'!C19 = '3.2 TAT ANALYSIS'!$O$162,
'8b. TPT REGISTER - PL'!H19&lt;&gt;0,
'8b. TPT REGISTER - PL'!D19&lt;&gt;0),
'8b. TPT REGISTER - PL'!H19 - '8b. TPT REGISTER - PL'!D19, "-")</f>
        <v>-</v>
      </c>
      <c r="P174" s="449" t="str">
        <f>IF(AND('8b. TPT REGISTER - PL'!C19 = '3.2 TAT ANALYSIS'!$P$162,
'8b. TPT REGISTER - PL'!H19&lt;&gt;0,
'8b. TPT REGISTER - PL'!D19&lt;&gt;0),
'8b. TPT REGISTER - PL'!H19 - '8b. TPT REGISTER - PL'!D19, "-")</f>
        <v>-</v>
      </c>
      <c r="Q174" s="449" t="str">
        <f>IF(AND('8b. TPT REGISTER - PL'!C19 = '3.2 TAT ANALYSIS'!$Q$162,
'8b. TPT REGISTER - PL'!H19&lt;&gt;0,
'8b. TPT REGISTER - PL'!D19&lt;&gt;0),
'8b. TPT REGISTER - PL'!H19 - '8b. TPT REGISTER - PL'!D19, "-")</f>
        <v>-</v>
      </c>
      <c r="R174" s="449" t="str">
        <f>IF(AND('8b. TPT REGISTER - PL'!C19 = '3.2 TAT ANALYSIS'!$R$162,
'8b. TPT REGISTER - PL'!H19&lt;&gt;0,
'8b. TPT REGISTER - PL'!D19&lt;&gt;0),
'8b. TPT REGISTER - PL'!H19 - '8b. TPT REGISTER - PL'!D19, "-")</f>
        <v>-</v>
      </c>
      <c r="S174" s="449" t="str">
        <f>IF(AND('8b. TPT REGISTER - PL'!C19 = '3.2 TAT ANALYSIS'!$S$162,
'8b. TPT REGISTER - PL'!H19&lt;&gt;0,
'8b. TPT REGISTER - PL'!D19&lt;&gt;0),
'8b. TPT REGISTER - PL'!H19 - '8b. TPT REGISTER - PL'!D19, "-")</f>
        <v>-</v>
      </c>
      <c r="T174" s="516" t="str">
        <f>IF(AND('8b. TPT REGISTER - PL'!H19&lt;&gt;0,
'8b. TPT REGISTER - PL'!D19&lt;&gt;0),
'8b. TPT REGISTER - PL'!H19 - '8b. TPT REGISTER - PL'!D19, "-")</f>
        <v>-</v>
      </c>
    </row>
    <row r="175" spans="2:20" ht="27.6" customHeight="1" x14ac:dyDescent="0.3">
      <c r="B175" s="344"/>
      <c r="C175" s="7"/>
      <c r="D175" s="7"/>
      <c r="E175" s="7"/>
      <c r="F175" s="7"/>
      <c r="G175" s="472"/>
      <c r="H175" s="472"/>
      <c r="I175" s="472"/>
      <c r="J175" s="472"/>
      <c r="K175" s="472"/>
      <c r="L175" s="472"/>
      <c r="M175" s="472"/>
      <c r="N175" s="419" t="s">
        <v>40</v>
      </c>
      <c r="O175" s="449" t="str">
        <f>IF(AND('8b. TPT REGISTER - PL'!C20 = '3.2 TAT ANALYSIS'!$O$162,
'8b. TPT REGISTER - PL'!H20&lt;&gt;0,
'8b. TPT REGISTER - PL'!D20&lt;&gt;0),
'8b. TPT REGISTER - PL'!H20 - '8b. TPT REGISTER - PL'!D20, "-")</f>
        <v>-</v>
      </c>
      <c r="P175" s="449" t="str">
        <f>IF(AND('8b. TPT REGISTER - PL'!C20 = '3.2 TAT ANALYSIS'!$P$162,
'8b. TPT REGISTER - PL'!H20&lt;&gt;0,
'8b. TPT REGISTER - PL'!D20&lt;&gt;0),
'8b. TPT REGISTER - PL'!H20 - '8b. TPT REGISTER - PL'!D20, "-")</f>
        <v>-</v>
      </c>
      <c r="Q175" s="449" t="str">
        <f>IF(AND('8b. TPT REGISTER - PL'!C20 = '3.2 TAT ANALYSIS'!$Q$162,
'8b. TPT REGISTER - PL'!H20&lt;&gt;0,
'8b. TPT REGISTER - PL'!D20&lt;&gt;0),
'8b. TPT REGISTER - PL'!H20 - '8b. TPT REGISTER - PL'!D20, "-")</f>
        <v>-</v>
      </c>
      <c r="R175" s="449" t="str">
        <f>IF(AND('8b. TPT REGISTER - PL'!C20 = '3.2 TAT ANALYSIS'!$R$162,
'8b. TPT REGISTER - PL'!H20&lt;&gt;0,
'8b. TPT REGISTER - PL'!D20&lt;&gt;0),
'8b. TPT REGISTER - PL'!H20 - '8b. TPT REGISTER - PL'!D20, "-")</f>
        <v>-</v>
      </c>
      <c r="S175" s="449" t="str">
        <f>IF(AND('8b. TPT REGISTER - PL'!C20 = '3.2 TAT ANALYSIS'!$S$162,
'8b. TPT REGISTER - PL'!H20&lt;&gt;0,
'8b. TPT REGISTER - PL'!D20&lt;&gt;0),
'8b. TPT REGISTER - PL'!H20 - '8b. TPT REGISTER - PL'!D20, "-")</f>
        <v>-</v>
      </c>
      <c r="T175" s="516" t="str">
        <f>IF(AND('8b. TPT REGISTER - PL'!H20&lt;&gt;0,
'8b. TPT REGISTER - PL'!D20&lt;&gt;0),
'8b. TPT REGISTER - PL'!H20 - '8b. TPT REGISTER - PL'!D20, "-")</f>
        <v>-</v>
      </c>
    </row>
    <row r="176" spans="2:20" ht="27.6" customHeight="1" x14ac:dyDescent="0.3">
      <c r="B176" s="344"/>
      <c r="C176" s="7"/>
      <c r="D176" s="7"/>
      <c r="E176" s="7"/>
      <c r="F176" s="7"/>
      <c r="G176" s="472"/>
      <c r="H176" s="472"/>
      <c r="I176" s="472"/>
      <c r="J176" s="472"/>
      <c r="K176" s="472"/>
      <c r="L176" s="472"/>
      <c r="M176" s="472"/>
      <c r="N176" s="419" t="s">
        <v>41</v>
      </c>
      <c r="O176" s="449" t="str">
        <f>IF(AND('8b. TPT REGISTER - PL'!C21 = '3.2 TAT ANALYSIS'!$O$162,
'8b. TPT REGISTER - PL'!H21&lt;&gt;0,
'8b. TPT REGISTER - PL'!D21&lt;&gt;0),
'8b. TPT REGISTER - PL'!H21 - '8b. TPT REGISTER - PL'!D21, "-")</f>
        <v>-</v>
      </c>
      <c r="P176" s="449" t="str">
        <f>IF(AND('8b. TPT REGISTER - PL'!C21 = '3.2 TAT ANALYSIS'!$P$162,
'8b. TPT REGISTER - PL'!H21&lt;&gt;0,
'8b. TPT REGISTER - PL'!D21&lt;&gt;0),
'8b. TPT REGISTER - PL'!H21 - '8b. TPT REGISTER - PL'!D21, "-")</f>
        <v>-</v>
      </c>
      <c r="Q176" s="449" t="str">
        <f>IF(AND('8b. TPT REGISTER - PL'!C21 = '3.2 TAT ANALYSIS'!$Q$162,
'8b. TPT REGISTER - PL'!H21&lt;&gt;0,
'8b. TPT REGISTER - PL'!D21&lt;&gt;0),
'8b. TPT REGISTER - PL'!H21 - '8b. TPT REGISTER - PL'!D21, "-")</f>
        <v>-</v>
      </c>
      <c r="R176" s="449" t="str">
        <f>IF(AND('8b. TPT REGISTER - PL'!C21 = '3.2 TAT ANALYSIS'!$R$162,
'8b. TPT REGISTER - PL'!H21&lt;&gt;0,
'8b. TPT REGISTER - PL'!D21&lt;&gt;0),
'8b. TPT REGISTER - PL'!H21 - '8b. TPT REGISTER - PL'!D21, "-")</f>
        <v>-</v>
      </c>
      <c r="S176" s="449" t="str">
        <f>IF(AND('8b. TPT REGISTER - PL'!C21 = '3.2 TAT ANALYSIS'!$S$162,
'8b. TPT REGISTER - PL'!H21&lt;&gt;0,
'8b. TPT REGISTER - PL'!D21&lt;&gt;0),
'8b. TPT REGISTER - PL'!H21 - '8b. TPT REGISTER - PL'!D21, "-")</f>
        <v>-</v>
      </c>
      <c r="T176" s="516" t="str">
        <f>IF(AND('8b. TPT REGISTER - PL'!H21&lt;&gt;0,
'8b. TPT REGISTER - PL'!D21&lt;&gt;0),
'8b. TPT REGISTER - PL'!H21 - '8b. TPT REGISTER - PL'!D21, "-")</f>
        <v>-</v>
      </c>
    </row>
    <row r="177" spans="2:23" ht="27.6" customHeight="1" x14ac:dyDescent="0.3">
      <c r="B177" s="344"/>
      <c r="C177" s="7"/>
      <c r="D177" s="7"/>
      <c r="E177" s="7"/>
      <c r="F177" s="7"/>
      <c r="G177" s="472"/>
      <c r="H177" s="472"/>
      <c r="I177" s="472"/>
      <c r="J177" s="472"/>
      <c r="K177" s="472"/>
      <c r="L177" s="472"/>
      <c r="M177" s="472"/>
      <c r="N177" s="421" t="s">
        <v>42</v>
      </c>
      <c r="O177" s="449" t="str">
        <f>IF(AND('8b. TPT REGISTER - PL'!C22 = '3.2 TAT ANALYSIS'!$O$162,
'8b. TPT REGISTER - PL'!H22&lt;&gt;0,
'8b. TPT REGISTER - PL'!D22&lt;&gt;0),
'8b. TPT REGISTER - PL'!H22 - '8b. TPT REGISTER - PL'!D22, "-")</f>
        <v>-</v>
      </c>
      <c r="P177" s="449" t="str">
        <f>IF(AND('8b. TPT REGISTER - PL'!C22 = '3.2 TAT ANALYSIS'!$P$162,
'8b. TPT REGISTER - PL'!H22&lt;&gt;0,
'8b. TPT REGISTER - PL'!D22&lt;&gt;0),
'8b. TPT REGISTER - PL'!H22 - '8b. TPT REGISTER - PL'!D22, "-")</f>
        <v>-</v>
      </c>
      <c r="Q177" s="449" t="str">
        <f>IF(AND('8b. TPT REGISTER - PL'!C22 = '3.2 TAT ANALYSIS'!$Q$162,
'8b. TPT REGISTER - PL'!H22&lt;&gt;0,
'8b. TPT REGISTER - PL'!D22&lt;&gt;0),
'8b. TPT REGISTER - PL'!H22 - '8b. TPT REGISTER - PL'!D22, "-")</f>
        <v>-</v>
      </c>
      <c r="R177" s="449" t="str">
        <f>IF(AND('8b. TPT REGISTER - PL'!C22 = '3.2 TAT ANALYSIS'!$R$162,
'8b. TPT REGISTER - PL'!H22&lt;&gt;0,
'8b. TPT REGISTER - PL'!D22&lt;&gt;0),
'8b. TPT REGISTER - PL'!H22 - '8b. TPT REGISTER - PL'!D22, "-")</f>
        <v>-</v>
      </c>
      <c r="S177" s="449" t="str">
        <f>IF(AND('8b. TPT REGISTER - PL'!C22 = '3.2 TAT ANALYSIS'!$S$162,
'8b. TPT REGISTER - PL'!H22&lt;&gt;0,
'8b. TPT REGISTER - PL'!D22&lt;&gt;0),
'8b. TPT REGISTER - PL'!H22 - '8b. TPT REGISTER - PL'!D22, "-")</f>
        <v>-</v>
      </c>
      <c r="T177" s="516" t="str">
        <f>IF(AND('8b. TPT REGISTER - PL'!H22&lt;&gt;0,
'8b. TPT REGISTER - PL'!D22&lt;&gt;0),
'8b. TPT REGISTER - PL'!H22 - '8b. TPT REGISTER - PL'!D22, "-")</f>
        <v>-</v>
      </c>
    </row>
    <row r="178" spans="2:23" ht="27.6" customHeight="1" x14ac:dyDescent="0.3">
      <c r="B178" s="344"/>
      <c r="C178" s="7"/>
      <c r="D178" s="7"/>
      <c r="E178" s="7"/>
      <c r="F178" s="7"/>
      <c r="G178" s="472"/>
      <c r="H178" s="472"/>
      <c r="I178" s="472"/>
      <c r="J178" s="472"/>
      <c r="K178" s="472"/>
      <c r="L178" s="472"/>
      <c r="M178" s="472"/>
      <c r="N178" s="421" t="s">
        <v>43</v>
      </c>
      <c r="O178" s="449" t="str">
        <f>IF(AND('8b. TPT REGISTER - PL'!C23 = '3.2 TAT ANALYSIS'!$O$162,
'8b. TPT REGISTER - PL'!H23&lt;&gt;0,
'8b. TPT REGISTER - PL'!D23&lt;&gt;0),
'8b. TPT REGISTER - PL'!H23 - '8b. TPT REGISTER - PL'!D23, "-")</f>
        <v>-</v>
      </c>
      <c r="P178" s="449" t="str">
        <f>IF(AND('8b. TPT REGISTER - PL'!C23 = '3.2 TAT ANALYSIS'!$P$162,
'8b. TPT REGISTER - PL'!H23&lt;&gt;0,
'8b. TPT REGISTER - PL'!D23&lt;&gt;0),
'8b. TPT REGISTER - PL'!H23 - '8b. TPT REGISTER - PL'!D23, "-")</f>
        <v>-</v>
      </c>
      <c r="Q178" s="449" t="str">
        <f>IF(AND('8b. TPT REGISTER - PL'!C23 = '3.2 TAT ANALYSIS'!$Q$162,
'8b. TPT REGISTER - PL'!H23&lt;&gt;0,
'8b. TPT REGISTER - PL'!D23&lt;&gt;0),
'8b. TPT REGISTER - PL'!H23 - '8b. TPT REGISTER - PL'!D23, "-")</f>
        <v>-</v>
      </c>
      <c r="R178" s="449" t="str">
        <f>IF(AND('8b. TPT REGISTER - PL'!C23 = '3.2 TAT ANALYSIS'!$R$162,
'8b. TPT REGISTER - PL'!H23&lt;&gt;0,
'8b. TPT REGISTER - PL'!D23&lt;&gt;0),
'8b. TPT REGISTER - PL'!H23 - '8b. TPT REGISTER - PL'!D23, "-")</f>
        <v>-</v>
      </c>
      <c r="S178" s="449" t="str">
        <f>IF(AND('8b. TPT REGISTER - PL'!C23 = '3.2 TAT ANALYSIS'!$S$162,
'8b. TPT REGISTER - PL'!H23&lt;&gt;0,
'8b. TPT REGISTER - PL'!D23&lt;&gt;0),
'8b. TPT REGISTER - PL'!H23 - '8b. TPT REGISTER - PL'!D23, "-")</f>
        <v>-</v>
      </c>
      <c r="T178" s="516" t="str">
        <f>IF(AND('8b. TPT REGISTER - PL'!H23&lt;&gt;0,
'8b. TPT REGISTER - PL'!D23&lt;&gt;0),
'8b. TPT REGISTER - PL'!H23 - '8b. TPT REGISTER - PL'!D23, "-")</f>
        <v>-</v>
      </c>
    </row>
    <row r="179" spans="2:23" ht="27.6" customHeight="1" x14ac:dyDescent="0.3">
      <c r="B179" s="344"/>
      <c r="C179" s="7"/>
      <c r="D179" s="7"/>
      <c r="E179" s="7"/>
      <c r="F179" s="7"/>
      <c r="G179" s="472"/>
      <c r="H179" s="472"/>
      <c r="I179" s="472"/>
      <c r="J179" s="472"/>
      <c r="K179" s="472"/>
      <c r="L179" s="472"/>
      <c r="M179" s="472"/>
      <c r="N179" s="421" t="s">
        <v>44</v>
      </c>
      <c r="O179" s="449" t="str">
        <f>IF(AND('8b. TPT REGISTER - PL'!C24 = '3.2 TAT ANALYSIS'!$O$162,
'8b. TPT REGISTER - PL'!H24&lt;&gt;0,
'8b. TPT REGISTER - PL'!D24&lt;&gt;0),
'8b. TPT REGISTER - PL'!H24 - '8b. TPT REGISTER - PL'!D24, "-")</f>
        <v>-</v>
      </c>
      <c r="P179" s="449" t="str">
        <f>IF(AND('8b. TPT REGISTER - PL'!C24 = '3.2 TAT ANALYSIS'!$P$162,
'8b. TPT REGISTER - PL'!H24&lt;&gt;0,
'8b. TPT REGISTER - PL'!D24&lt;&gt;0),
'8b. TPT REGISTER - PL'!H24 - '8b. TPT REGISTER - PL'!D24, "-")</f>
        <v>-</v>
      </c>
      <c r="Q179" s="449" t="str">
        <f>IF(AND('8b. TPT REGISTER - PL'!C24 = '3.2 TAT ANALYSIS'!$Q$162,
'8b. TPT REGISTER - PL'!H24&lt;&gt;0,
'8b. TPT REGISTER - PL'!D24&lt;&gt;0),
'8b. TPT REGISTER - PL'!H24 - '8b. TPT REGISTER - PL'!D24, "-")</f>
        <v>-</v>
      </c>
      <c r="R179" s="449" t="str">
        <f>IF(AND('8b. TPT REGISTER - PL'!C24 = '3.2 TAT ANALYSIS'!$R$162,
'8b. TPT REGISTER - PL'!H24&lt;&gt;0,
'8b. TPT REGISTER - PL'!D24&lt;&gt;0),
'8b. TPT REGISTER - PL'!H24 - '8b. TPT REGISTER - PL'!D24, "-")</f>
        <v>-</v>
      </c>
      <c r="S179" s="449" t="str">
        <f>IF(AND('8b. TPT REGISTER - PL'!C24 = '3.2 TAT ANALYSIS'!$S$162,
'8b. TPT REGISTER - PL'!H24&lt;&gt;0,
'8b. TPT REGISTER - PL'!D24&lt;&gt;0),
'8b. TPT REGISTER - PL'!H24 - '8b. TPT REGISTER - PL'!D24, "-")</f>
        <v>-</v>
      </c>
      <c r="T179" s="516" t="str">
        <f>IF(AND('8b. TPT REGISTER - PL'!H24&lt;&gt;0,
'8b. TPT REGISTER - PL'!D24&lt;&gt;0),
'8b. TPT REGISTER - PL'!H24 - '8b. TPT REGISTER - PL'!D24, "-")</f>
        <v>-</v>
      </c>
    </row>
    <row r="180" spans="2:23" ht="27.6" customHeight="1" x14ac:dyDescent="0.3">
      <c r="B180" s="344"/>
      <c r="C180" s="7"/>
      <c r="D180" s="7"/>
      <c r="E180" s="7"/>
      <c r="F180" s="7"/>
      <c r="G180" s="472"/>
      <c r="H180" s="472"/>
      <c r="I180" s="472"/>
      <c r="J180" s="472"/>
      <c r="K180" s="472"/>
      <c r="L180" s="472"/>
      <c r="M180" s="472"/>
      <c r="N180" s="421" t="s">
        <v>45</v>
      </c>
      <c r="O180" s="449" t="str">
        <f>IF(AND('8b. TPT REGISTER - PL'!C25 = '3.2 TAT ANALYSIS'!$O$162,
'8b. TPT REGISTER - PL'!H25&lt;&gt;0,
'8b. TPT REGISTER - PL'!D25&lt;&gt;0),
'8b. TPT REGISTER - PL'!H25 - '8b. TPT REGISTER - PL'!D25, "-")</f>
        <v>-</v>
      </c>
      <c r="P180" s="449" t="str">
        <f>IF(AND('8b. TPT REGISTER - PL'!C25 = '3.2 TAT ANALYSIS'!$P$162,
'8b. TPT REGISTER - PL'!H25&lt;&gt;0,
'8b. TPT REGISTER - PL'!D25&lt;&gt;0),
'8b. TPT REGISTER - PL'!H25 - '8b. TPT REGISTER - PL'!D25, "-")</f>
        <v>-</v>
      </c>
      <c r="Q180" s="449" t="str">
        <f>IF(AND('8b. TPT REGISTER - PL'!C25 = '3.2 TAT ANALYSIS'!$Q$162,
'8b. TPT REGISTER - PL'!H25&lt;&gt;0,
'8b. TPT REGISTER - PL'!D25&lt;&gt;0),
'8b. TPT REGISTER - PL'!H25 - '8b. TPT REGISTER - PL'!D25, "-")</f>
        <v>-</v>
      </c>
      <c r="R180" s="449" t="str">
        <f>IF(AND('8b. TPT REGISTER - PL'!C25 = '3.2 TAT ANALYSIS'!$R$162,
'8b. TPT REGISTER - PL'!H25&lt;&gt;0,
'8b. TPT REGISTER - PL'!D25&lt;&gt;0),
'8b. TPT REGISTER - PL'!H25 - '8b. TPT REGISTER - PL'!D25, "-")</f>
        <v>-</v>
      </c>
      <c r="S180" s="449" t="str">
        <f>IF(AND('8b. TPT REGISTER - PL'!C25 = '3.2 TAT ANALYSIS'!$S$162,
'8b. TPT REGISTER - PL'!H25&lt;&gt;0,
'8b. TPT REGISTER - PL'!D25&lt;&gt;0),
'8b. TPT REGISTER - PL'!H25 - '8b. TPT REGISTER - PL'!D25, "-")</f>
        <v>-</v>
      </c>
      <c r="T180" s="516" t="str">
        <f>IF(AND('8b. TPT REGISTER - PL'!H25&lt;&gt;0,
'8b. TPT REGISTER - PL'!D25&lt;&gt;0),
'8b. TPT REGISTER - PL'!H25 - '8b. TPT REGISTER - PL'!D25, "-")</f>
        <v>-</v>
      </c>
    </row>
    <row r="181" spans="2:23" ht="27.6" customHeight="1" x14ac:dyDescent="0.3">
      <c r="B181" s="344"/>
      <c r="C181" s="7"/>
      <c r="D181" s="7"/>
      <c r="E181" s="7"/>
      <c r="F181" s="7"/>
      <c r="G181" s="472"/>
      <c r="H181" s="472"/>
      <c r="I181" s="472"/>
      <c r="J181" s="472"/>
      <c r="K181" s="472"/>
      <c r="L181" s="472"/>
      <c r="M181" s="472"/>
      <c r="N181" s="421" t="s">
        <v>46</v>
      </c>
      <c r="O181" s="449" t="str">
        <f>IF(AND('8b. TPT REGISTER - PL'!C26 = '3.2 TAT ANALYSIS'!$O$162,
'8b. TPT REGISTER - PL'!H26&lt;&gt;0,
'8b. TPT REGISTER - PL'!D26&lt;&gt;0),
'8b. TPT REGISTER - PL'!H26 - '8b. TPT REGISTER - PL'!D26, "-")</f>
        <v>-</v>
      </c>
      <c r="P181" s="449" t="str">
        <f>IF(AND('8b. TPT REGISTER - PL'!C26 = '3.2 TAT ANALYSIS'!$P$162,
'8b. TPT REGISTER - PL'!H26&lt;&gt;0,
'8b. TPT REGISTER - PL'!D26&lt;&gt;0),
'8b. TPT REGISTER - PL'!H26 - '8b. TPT REGISTER - PL'!D26, "-")</f>
        <v>-</v>
      </c>
      <c r="Q181" s="449" t="str">
        <f>IF(AND('8b. TPT REGISTER - PL'!C26 = '3.2 TAT ANALYSIS'!$Q$162,
'8b. TPT REGISTER - PL'!H26&lt;&gt;0,
'8b. TPT REGISTER - PL'!D26&lt;&gt;0),
'8b. TPT REGISTER - PL'!H26 - '8b. TPT REGISTER - PL'!D26, "-")</f>
        <v>-</v>
      </c>
      <c r="R181" s="449" t="str">
        <f>IF(AND('8b. TPT REGISTER - PL'!C26 = '3.2 TAT ANALYSIS'!$R$162,
'8b. TPT REGISTER - PL'!H26&lt;&gt;0,
'8b. TPT REGISTER - PL'!D26&lt;&gt;0),
'8b. TPT REGISTER - PL'!H26 - '8b. TPT REGISTER - PL'!D26, "-")</f>
        <v>-</v>
      </c>
      <c r="S181" s="449" t="str">
        <f>IF(AND('8b. TPT REGISTER - PL'!C26 = '3.2 TAT ANALYSIS'!$S$162,
'8b. TPT REGISTER - PL'!H26&lt;&gt;0,
'8b. TPT REGISTER - PL'!D26&lt;&gt;0),
'8b. TPT REGISTER - PL'!H26 - '8b. TPT REGISTER - PL'!D26, "-")</f>
        <v>-</v>
      </c>
      <c r="T181" s="516" t="str">
        <f>IF(AND('8b. TPT REGISTER - PL'!H26&lt;&gt;0,
'8b. TPT REGISTER - PL'!D26&lt;&gt;0),
'8b. TPT REGISTER - PL'!H26 - '8b. TPT REGISTER - PL'!D26, "-")</f>
        <v>-</v>
      </c>
    </row>
    <row r="182" spans="2:23" ht="27.6" customHeight="1" x14ac:dyDescent="0.3">
      <c r="B182" s="344"/>
      <c r="C182" s="7"/>
      <c r="D182" s="7"/>
      <c r="E182" s="7"/>
      <c r="F182" s="7"/>
      <c r="G182" s="472"/>
      <c r="H182" s="472"/>
      <c r="I182" s="472"/>
      <c r="J182" s="472"/>
      <c r="K182" s="472"/>
      <c r="L182" s="472"/>
      <c r="M182" s="472"/>
      <c r="N182" s="421" t="s">
        <v>47</v>
      </c>
      <c r="O182" s="449" t="str">
        <f>IF(AND('8b. TPT REGISTER - PL'!C27 = '3.2 TAT ANALYSIS'!$O$162,
'8b. TPT REGISTER - PL'!H27&lt;&gt;0,
'8b. TPT REGISTER - PL'!D27&lt;&gt;0),
'8b. TPT REGISTER - PL'!H27 - '8b. TPT REGISTER - PL'!D27, "-")</f>
        <v>-</v>
      </c>
      <c r="P182" s="449" t="str">
        <f>IF(AND('8b. TPT REGISTER - PL'!C27 = '3.2 TAT ANALYSIS'!$P$162,
'8b. TPT REGISTER - PL'!H27&lt;&gt;0,
'8b. TPT REGISTER - PL'!D27&lt;&gt;0),
'8b. TPT REGISTER - PL'!H27 - '8b. TPT REGISTER - PL'!D27, "-")</f>
        <v>-</v>
      </c>
      <c r="Q182" s="449" t="str">
        <f>IF(AND('8b. TPT REGISTER - PL'!C27 = '3.2 TAT ANALYSIS'!$Q$162,
'8b. TPT REGISTER - PL'!H27&lt;&gt;0,
'8b. TPT REGISTER - PL'!D27&lt;&gt;0),
'8b. TPT REGISTER - PL'!H27 - '8b. TPT REGISTER - PL'!D27, "-")</f>
        <v>-</v>
      </c>
      <c r="R182" s="449" t="str">
        <f>IF(AND('8b. TPT REGISTER - PL'!C27 = '3.2 TAT ANALYSIS'!$R$162,
'8b. TPT REGISTER - PL'!H27&lt;&gt;0,
'8b. TPT REGISTER - PL'!D27&lt;&gt;0),
'8b. TPT REGISTER - PL'!H27 - '8b. TPT REGISTER - PL'!D27, "-")</f>
        <v>-</v>
      </c>
      <c r="S182" s="449" t="str">
        <f>IF(AND('8b. TPT REGISTER - PL'!C27 = '3.2 TAT ANALYSIS'!$S$162,
'8b. TPT REGISTER - PL'!H27&lt;&gt;0,
'8b. TPT REGISTER - PL'!D27&lt;&gt;0),
'8b. TPT REGISTER - PL'!H27 - '8b. TPT REGISTER - PL'!D27, "-")</f>
        <v>-</v>
      </c>
      <c r="T182" s="516" t="str">
        <f>IF(AND('8b. TPT REGISTER - PL'!H27&lt;&gt;0,
'8b. TPT REGISTER - PL'!D27&lt;&gt;0),
'8b. TPT REGISTER - PL'!H27 - '8b. TPT REGISTER - PL'!D27, "-")</f>
        <v>-</v>
      </c>
    </row>
    <row r="183" spans="2:23" ht="27.6" customHeight="1" thickBot="1" x14ac:dyDescent="0.35">
      <c r="B183" s="444"/>
      <c r="C183" s="445"/>
      <c r="D183" s="445"/>
      <c r="E183" s="445"/>
      <c r="F183" s="445"/>
      <c r="G183" s="446"/>
      <c r="H183" s="446"/>
      <c r="I183" s="446"/>
      <c r="J183" s="446"/>
      <c r="K183" s="446"/>
      <c r="L183" s="446"/>
      <c r="M183" s="446"/>
      <c r="N183" s="447" t="s">
        <v>92</v>
      </c>
      <c r="O183" s="443" t="str">
        <f>IF(ISNUMBER(AVERAGE('3.2 TAT ANALYSIS'!$O$163:$O$182)), SUMIF(O163:O182,"&gt;-1")/$O$184, "NA")</f>
        <v>NA</v>
      </c>
      <c r="P183" s="443" t="str">
        <f>IF(ISNUMBER(AVERAGE('3.2 TAT ANALYSIS'!$P$163:$P$182)), SUMIF(P163:P182,"&gt;-1")/$P$184, "NA")</f>
        <v>NA</v>
      </c>
      <c r="Q183" s="443" t="str">
        <f>IF(ISNUMBER(AVERAGE('3.2 TAT ANALYSIS'!$Q$163:$Q$182)), SUMIF(Q163:Q182,"&gt;-1")/$Q$184, "NA")</f>
        <v>NA</v>
      </c>
      <c r="R183" s="443" t="str">
        <f>IF(ISNUMBER(AVERAGE('3.2 TAT ANALYSIS'!$R$163:$R$182)), SUMIF(R163:R182,"&gt;-1")/$R$184, "NA")</f>
        <v>NA</v>
      </c>
      <c r="S183" s="443" t="str">
        <f>IF(ISNUMBER(AVERAGE('3.2 TAT ANALYSIS'!$S$163:$S$182)), SUMIF(S163:S182,"&gt;-1")/$S$184, "NA")</f>
        <v>NA</v>
      </c>
      <c r="T183" s="494" t="str">
        <f>IF(ISNUMBER(AVERAGE('3.2 TAT ANALYSIS'!$T$163:$T$182)), SUMIF(T163:T182,"&gt;-1")/$T$184, "NA")</f>
        <v>NA</v>
      </c>
    </row>
    <row r="184" spans="2:23" ht="24" hidden="1" customHeight="1" x14ac:dyDescent="0.3">
      <c r="N184" s="490" t="s">
        <v>330</v>
      </c>
      <c r="O184" s="488">
        <f>COUNTIF(O163:O182, "&lt;&gt;-")</f>
        <v>0</v>
      </c>
      <c r="P184" s="488">
        <f t="shared" ref="P184:Q184" si="5">COUNTIF(P163:P182, "&lt;&gt;-")</f>
        <v>0</v>
      </c>
      <c r="Q184" s="488">
        <f t="shared" si="5"/>
        <v>0</v>
      </c>
      <c r="R184" s="488">
        <f>COUNTIF(R163:R182, "&lt;&gt;-")</f>
        <v>0</v>
      </c>
      <c r="S184" s="488">
        <f>COUNTIF(S163:S182, "&lt;&gt;-")</f>
        <v>0</v>
      </c>
      <c r="T184" s="488">
        <f>COUNTIF(T163:T182, "&lt;&gt;-")</f>
        <v>0</v>
      </c>
    </row>
    <row r="185" spans="2:23" ht="24" hidden="1" customHeight="1" x14ac:dyDescent="0.3">
      <c r="N185" s="454" t="s">
        <v>312</v>
      </c>
      <c r="O185" s="457">
        <f>MIN('3.2 TAT ANALYSIS'!$O$163:$O$182)</f>
        <v>0</v>
      </c>
      <c r="P185" s="457">
        <f>MIN('3.2 TAT ANALYSIS'!$P$163:$P$182)</f>
        <v>0</v>
      </c>
      <c r="Q185" s="457">
        <f>MIN('3.2 TAT ANALYSIS'!$Q$163:$Q$182)</f>
        <v>0</v>
      </c>
      <c r="R185" s="457">
        <f>MIN('3.2 TAT ANALYSIS'!$R$163:$R$182)</f>
        <v>0</v>
      </c>
      <c r="S185" s="457">
        <f>MIN('3.2 TAT ANALYSIS'!$S$163:$S$182)</f>
        <v>0</v>
      </c>
      <c r="T185" s="457">
        <f>MIN('3.2 TAT ANALYSIS'!$T$163:$T$182)</f>
        <v>0</v>
      </c>
      <c r="U185"/>
      <c r="V185"/>
      <c r="W185"/>
    </row>
    <row r="186" spans="2:23" ht="24" hidden="1" customHeight="1" x14ac:dyDescent="0.3">
      <c r="N186" s="37" t="s">
        <v>313</v>
      </c>
      <c r="O186" s="457" t="e">
        <f>AVERAGE('3.2 TAT ANALYSIS'!$O$163:$O$182)</f>
        <v>#DIV/0!</v>
      </c>
      <c r="P186" s="457" t="e">
        <f>AVERAGE('3.2 TAT ANALYSIS'!$P$163:$P$182)</f>
        <v>#DIV/0!</v>
      </c>
      <c r="Q186" s="457" t="e">
        <f>AVERAGE('3.2 TAT ANALYSIS'!$Q$163:$Q$182)</f>
        <v>#DIV/0!</v>
      </c>
      <c r="R186" s="457" t="e">
        <f>AVERAGE('3.2 TAT ANALYSIS'!$R$163:$R$182)</f>
        <v>#DIV/0!</v>
      </c>
      <c r="S186" s="457" t="e">
        <f>AVERAGE('3.2 TAT ANALYSIS'!$S$163:$S$182)</f>
        <v>#DIV/0!</v>
      </c>
      <c r="T186" s="457" t="e">
        <f>AVERAGE('3.2 TAT ANALYSIS'!$T$163:$T$182)</f>
        <v>#DIV/0!</v>
      </c>
      <c r="U186"/>
      <c r="V186"/>
      <c r="W186"/>
    </row>
    <row r="187" spans="2:23" ht="24" hidden="1" customHeight="1" x14ac:dyDescent="0.3">
      <c r="N187" s="37" t="s">
        <v>314</v>
      </c>
      <c r="O187" s="457">
        <f>MAX('3.2 TAT ANALYSIS'!$O$163:$O$182)</f>
        <v>0</v>
      </c>
      <c r="P187" s="457">
        <f>MAX('3.2 TAT ANALYSIS'!$P$163:$P$182)</f>
        <v>0</v>
      </c>
      <c r="Q187" s="457">
        <f>MAX('3.2 TAT ANALYSIS'!$Q$163:$Q$182)</f>
        <v>0</v>
      </c>
      <c r="R187" s="457">
        <f>MAX('3.2 TAT ANALYSIS'!$R$163:$R$182)</f>
        <v>0</v>
      </c>
      <c r="S187" s="457">
        <f>MAX('3.2 TAT ANALYSIS'!$S$163:$S$182)</f>
        <v>0</v>
      </c>
      <c r="T187" s="457">
        <f>MAX('3.2 TAT ANALYSIS'!$T$163:$T$182)</f>
        <v>0</v>
      </c>
      <c r="U187"/>
      <c r="V187"/>
      <c r="W187"/>
    </row>
    <row r="188" spans="2:23" ht="24" hidden="1" customHeight="1" x14ac:dyDescent="0.3">
      <c r="N188" s="37" t="s">
        <v>317</v>
      </c>
      <c r="O188" s="457">
        <f>IF(O183&lt;&gt;"NA", 3, VALUE("-1"))</f>
        <v>-1</v>
      </c>
      <c r="P188" s="457">
        <f>IF(P183&lt;&gt;"NA", 2.5, VALUE("-1"))</f>
        <v>-1</v>
      </c>
      <c r="Q188" s="457">
        <f>IF(Q183&lt;&gt;"NA", 2, VALUE("-1"))</f>
        <v>-1</v>
      </c>
      <c r="R188" s="457">
        <f>IF(R183&lt;&gt;"NA", 1.5, VALUE("-1"))</f>
        <v>-1</v>
      </c>
      <c r="S188" s="457">
        <f>IF(S183&lt;&gt;"NA", 1, VALUE("-1"))</f>
        <v>-1</v>
      </c>
      <c r="T188" s="457">
        <v>0.5</v>
      </c>
    </row>
    <row r="189" spans="2:23" ht="24" hidden="1" customHeight="1" x14ac:dyDescent="0.3">
      <c r="N189" s="37" t="s">
        <v>318</v>
      </c>
      <c r="O189" s="457">
        <f>IF(O183&lt;&gt;"NA", 3, VALUE("-1"))</f>
        <v>-1</v>
      </c>
      <c r="P189" s="457">
        <f>IF(P183&lt;&gt;"NA", 2.5, VALUE("-1"))</f>
        <v>-1</v>
      </c>
      <c r="Q189" s="457">
        <f>IF(Q183&lt;&gt;"NA", 2, VALUE("-1"))</f>
        <v>-1</v>
      </c>
      <c r="R189" s="457">
        <f>IF(R183&lt;&gt;"NA", 1.5, VALUE("-1"))</f>
        <v>-1</v>
      </c>
      <c r="S189" s="457">
        <f>IF(S183&lt;&gt;"NA", 1, VALUE("-1"))</f>
        <v>-1</v>
      </c>
      <c r="T189" s="457">
        <v>0.5</v>
      </c>
    </row>
    <row r="190" spans="2:23" ht="24" hidden="1" customHeight="1" x14ac:dyDescent="0.3">
      <c r="N190" s="37" t="s">
        <v>319</v>
      </c>
      <c r="O190" s="457">
        <f>IF(O183&lt;&gt;"NA", 3, VALUE("-1"))</f>
        <v>-1</v>
      </c>
      <c r="P190" s="457">
        <f>IF(P183&lt;&gt;"NA", 2.5, VALUE("-1"))</f>
        <v>-1</v>
      </c>
      <c r="Q190" s="457">
        <f>IF(Q183&lt;&gt;"NA", 2, VALUE("-1"))</f>
        <v>-1</v>
      </c>
      <c r="R190" s="457">
        <f>IF(R183&lt;&gt;"NA", 1.5, VALUE("-1"))</f>
        <v>-1</v>
      </c>
      <c r="S190" s="457">
        <f>IF(S183&lt;&gt;"NA", 1, VALUE("-1"))</f>
        <v>-1</v>
      </c>
      <c r="T190" s="457">
        <v>0.5</v>
      </c>
    </row>
    <row r="191" spans="2:23" ht="24" customHeight="1" x14ac:dyDescent="0.3">
      <c r="O191" s="455"/>
      <c r="P191" s="455"/>
      <c r="Q191" s="455"/>
      <c r="R191" s="455"/>
      <c r="S191" s="455"/>
    </row>
    <row r="192" spans="2:23" x14ac:dyDescent="0.3">
      <c r="O192" s="455"/>
      <c r="P192" s="455"/>
      <c r="Q192" s="455"/>
      <c r="R192" s="455"/>
      <c r="S192" s="455"/>
    </row>
    <row r="193" spans="15:19" x14ac:dyDescent="0.3">
      <c r="O193" s="455"/>
      <c r="P193" s="455"/>
      <c r="Q193" s="455"/>
      <c r="R193" s="455"/>
      <c r="S193" s="455"/>
    </row>
    <row r="194" spans="15:19" x14ac:dyDescent="0.3">
      <c r="O194" s="455"/>
      <c r="P194" s="455"/>
      <c r="Q194" s="455"/>
      <c r="R194" s="455"/>
      <c r="S194" s="455"/>
    </row>
  </sheetData>
  <mergeCells count="6">
    <mergeCell ref="B161:T161"/>
    <mergeCell ref="B37:T37"/>
    <mergeCell ref="B5:S5"/>
    <mergeCell ref="B68:T68"/>
    <mergeCell ref="B99:T99"/>
    <mergeCell ref="B130:T130"/>
  </mergeCells>
  <phoneticPr fontId="25" type="noConversion"/>
  <conditionalFormatting sqref="O163:T182">
    <cfRule type="cellIs" dxfId="458" priority="14" operator="notEqual">
      <formula>"-"</formula>
    </cfRule>
  </conditionalFormatting>
  <conditionalFormatting sqref="O8:O27">
    <cfRule type="cellIs" dxfId="457" priority="9" operator="notEqual">
      <formula>"-"</formula>
    </cfRule>
  </conditionalFormatting>
  <conditionalFormatting sqref="P8:P27">
    <cfRule type="cellIs" dxfId="456" priority="10" operator="notEqual">
      <formula>"-"</formula>
    </cfRule>
  </conditionalFormatting>
  <conditionalFormatting sqref="Q8:Q27">
    <cfRule type="cellIs" dxfId="455" priority="11" operator="notEqual">
      <formula>"-"</formula>
    </cfRule>
  </conditionalFormatting>
  <conditionalFormatting sqref="R8:R27">
    <cfRule type="cellIs" dxfId="454" priority="12" operator="notEqual">
      <formula>"-"</formula>
    </cfRule>
  </conditionalFormatting>
  <conditionalFormatting sqref="S8:S26">
    <cfRule type="cellIs" dxfId="453" priority="13" operator="notEqual">
      <formula>"-"</formula>
    </cfRule>
  </conditionalFormatting>
  <conditionalFormatting sqref="O39:T58">
    <cfRule type="cellIs" dxfId="452" priority="6" operator="notEqual">
      <formula>"-"</formula>
    </cfRule>
  </conditionalFormatting>
  <conditionalFormatting sqref="O70:T89">
    <cfRule type="cellIs" dxfId="451" priority="3" operator="notEqual">
      <formula>"-"</formula>
    </cfRule>
  </conditionalFormatting>
  <conditionalFormatting sqref="O101:T120">
    <cfRule type="cellIs" dxfId="450" priority="2" operator="notEqual">
      <formula>"-"</formula>
    </cfRule>
  </conditionalFormatting>
  <conditionalFormatting sqref="O132:T151">
    <cfRule type="cellIs" dxfId="449" priority="1" operator="notEqual">
      <formula>"-"</formula>
    </cfRule>
  </conditionalFormatting>
  <pageMargins left="0.7" right="0.7" top="0.75" bottom="0.75" header="0.3" footer="0.3"/>
  <pageSetup orientation="portrait" r:id="rId1"/>
  <ignoredErrors>
    <ignoredError sqref="O20:S29 C3 O30" unlockedFormula="1"/>
    <ignoredError sqref="R132:R151" formula="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0" tint="-0.499984740745262"/>
  </sheetPr>
  <dimension ref="B3:P48"/>
  <sheetViews>
    <sheetView showGridLines="0" zoomScale="70" zoomScaleNormal="70" workbookViewId="0"/>
  </sheetViews>
  <sheetFormatPr defaultRowHeight="14.4" x14ac:dyDescent="0.3"/>
  <cols>
    <col min="1" max="1" width="4.109375" customWidth="1"/>
    <col min="2" max="4" width="20.5546875" customWidth="1"/>
    <col min="5" max="5" width="4.109375" customWidth="1"/>
    <col min="6" max="8" width="20.5546875" customWidth="1"/>
    <col min="9" max="9" width="4.44140625" customWidth="1"/>
    <col min="10" max="12" width="20.5546875" customWidth="1"/>
    <col min="13" max="13" width="4.33203125" customWidth="1"/>
    <col min="14" max="16" width="20.5546875" customWidth="1"/>
  </cols>
  <sheetData>
    <row r="3" spans="2:16" ht="30" customHeight="1" x14ac:dyDescent="0.3">
      <c r="B3" s="697" t="s">
        <v>236</v>
      </c>
      <c r="C3" s="697"/>
      <c r="D3" s="697"/>
      <c r="F3" s="698" t="s">
        <v>237</v>
      </c>
      <c r="G3" s="698"/>
      <c r="H3" s="698"/>
      <c r="J3" s="699" t="s">
        <v>238</v>
      </c>
      <c r="K3" s="699"/>
      <c r="L3" s="699"/>
      <c r="N3" s="694" t="s">
        <v>242</v>
      </c>
      <c r="O3" s="694"/>
      <c r="P3" s="694"/>
    </row>
    <row r="4" spans="2:16" ht="30" customHeight="1" x14ac:dyDescent="0.3">
      <c r="B4" s="370" t="s">
        <v>241</v>
      </c>
      <c r="C4" s="695" t="s">
        <v>300</v>
      </c>
      <c r="D4" s="696"/>
      <c r="F4" s="370" t="s">
        <v>241</v>
      </c>
      <c r="G4" s="695" t="s">
        <v>300</v>
      </c>
      <c r="H4" s="696"/>
      <c r="J4" s="370" t="s">
        <v>241</v>
      </c>
      <c r="K4" s="695" t="s">
        <v>300</v>
      </c>
      <c r="L4" s="696"/>
      <c r="N4" s="370" t="s">
        <v>241</v>
      </c>
      <c r="O4" s="695" t="s">
        <v>300</v>
      </c>
      <c r="P4" s="696"/>
    </row>
    <row r="5" spans="2:16" ht="30" customHeight="1" x14ac:dyDescent="0.3">
      <c r="B5" s="365" t="s">
        <v>14</v>
      </c>
      <c r="C5" s="371" t="e">
        <f>(SUM(AggPresumptiveP1[[#Totals],[Age 0-14]], AggPresumptiveP1[[#Totals],[Age 15+ ]],
AggPresumptiveP2[[#Totals],[Age 0-14]], AggPresumptiveP2[[#Totals],[Age 15+ ]],
AggPresumptiveP3[[#Totals],[Age 0-14]], AggPresumptiveP3[[#Totals],[Age 15+ ]],
AggPresumptiveP4[[#Totals],[Age 0-14]], AggPresumptiveP4[[#Totals],[Age 15+ ]],
AggPresumptiveP5[[#Totals],[Age 0-14]], AggPresumptiveP5[[#Totals],[Age 15+ ]]))/
(SUM(AggPresumptiveP1[[#Totals],[Total Presumptive TB]],
AggPresumptiveP2[[#Totals],[Total Presumptive TB]],
AggPresumptiveP3[[#Totals],[Total Presumptive TB]],
AggPresumptiveP4[[#Totals],[Total Presumptive TB]],
AggPresumptiveP5[[#Totals],[Total Presumptive TB]]))</f>
        <v>#DIV/0!</v>
      </c>
      <c r="D5" s="372" t="e">
        <f>1-$C$5</f>
        <v>#DIV/0!</v>
      </c>
      <c r="E5" s="19"/>
      <c r="F5" s="365" t="s">
        <v>14</v>
      </c>
      <c r="G5" s="371" t="e">
        <f>( SUM(AggLabP1[[#Totals],[Age 0-14]], AggLabP1[[#Totals],[Age 15+]]))/AggLabP1[[#Totals],[Total Specimens]]</f>
        <v>#DIV/0!</v>
      </c>
      <c r="H5" s="372" t="e">
        <f>1-$G$5</f>
        <v>#DIV/0!</v>
      </c>
      <c r="J5" s="365" t="s">
        <v>14</v>
      </c>
      <c r="K5" s="371" t="e">
        <f>( SUM(AggTreatmentP1[[#Totals],[Age 0-14]], AggTreatmentP1[[#Totals],[Age 15+]]))/AggTreatmentP1[[#Totals],[Total Patients ]]</f>
        <v>#DIV/0!</v>
      </c>
      <c r="L5" s="372" t="e">
        <f>1-$K$5</f>
        <v>#DIV/0!</v>
      </c>
      <c r="N5" s="365" t="s">
        <v>14</v>
      </c>
      <c r="O5" s="371" t="e">
        <f>( SUM(AggTPTP1[[#Totals],[Age 0-14]], AggTPTP1[[#Totals],[Age 15+]]))/AggTPTP1[[#Totals],[Total Patients ]]</f>
        <v>#DIV/0!</v>
      </c>
      <c r="P5" s="372" t="e">
        <f>1-$O$5</f>
        <v>#DIV/0!</v>
      </c>
    </row>
    <row r="6" spans="2:16" ht="30" customHeight="1" x14ac:dyDescent="0.3">
      <c r="B6" s="365" t="s">
        <v>240</v>
      </c>
      <c r="C6" s="371" t="e">
        <f>(SUM(AggPresumptiveP1[[#Totals],[Number Specimens Collected]],
AggPresumptiveP2[[#Totals],[Number Specimens Collected]],
AggPresumptiveP3[[#Totals],[Number Specimens Collected]],
AggPresumptiveP4[[#Totals],[Number Specimens Collected]],
AggPresumptiveP5[[#Totals],[Number Specimens Collected]]))/
(SUM(AggPresumptiveP1[[#Totals],[Total Presumptive TB]],
AggPresumptiveP2[[#Totals],[Total Presumptive TB]],
AggPresumptiveP3[[#Totals],[Total Presumptive TB]],
AggPresumptiveP4[[#Totals],[Total Presumptive TB]],
AggPresumptiveP5[[#Totals],[Total Presumptive TB]]))</f>
        <v>#DIV/0!</v>
      </c>
      <c r="D6" s="372" t="e">
        <f>1-$C$6</f>
        <v>#DIV/0!</v>
      </c>
      <c r="E6" s="369"/>
      <c r="F6" s="368" t="s">
        <v>8</v>
      </c>
      <c r="G6" s="371" t="e">
        <f>( SUM(AggLabP1[[#Totals],[Positive]], AggLabP1[[#Totals],[Negative]]))/AggLabP1[[#Totals],[Total Specimens]]</f>
        <v>#DIV/0!</v>
      </c>
      <c r="H6" s="372" t="e">
        <f>1-$G$6</f>
        <v>#DIV/0!</v>
      </c>
      <c r="J6" s="368" t="s">
        <v>8</v>
      </c>
      <c r="K6" s="371" t="e">
        <f>( SUM(AggTreatmentP1[[#Totals],[Negative (Neg)]], AggTreatmentP1[[#Totals],[Known HIV Positive (KPos)]], AggTreatmentP1[[#Totals],[Newly Tested HIV Positive (NPos)]]))/AggTreatmentP1[[#Totals],[Total Patients ]]</f>
        <v>#DIV/0!</v>
      </c>
      <c r="L6" s="372" t="e">
        <f>1-$K$6</f>
        <v>#DIV/0!</v>
      </c>
      <c r="N6" s="375" t="s">
        <v>239</v>
      </c>
      <c r="O6" s="376" t="e">
        <f>( SUM(AggTPTP1[[#Totals],[PLHIV newly enrolled into HIV care and treatment]], AggTPTP1[[#Totals],[PLHIV on follow-up visit for HIV care and treatment ]]))/AggTPTP1[[#Totals],[Total Patients ]]</f>
        <v>#DIV/0!</v>
      </c>
      <c r="P6" s="377" t="e">
        <f>1-$O$6</f>
        <v>#DIV/0!</v>
      </c>
    </row>
    <row r="7" spans="2:16" ht="30" customHeight="1" x14ac:dyDescent="0.3">
      <c r="B7" s="384" t="s">
        <v>281</v>
      </c>
      <c r="C7" s="371" t="e">
        <f>(SUM(AggPresumptiveP1[[#Totals],[Number Specimens Collected]], AggPresumptiveP2[[#Totals],[Number Specimens Collected]], AggPresumptiveP3[[#Totals],[Number Specimens Collected]], AggPresumptiveP4[[#Totals],[Number Specimens Collected]], AggPresumptiveP5[[#Totals],[Number Specimens Collected]],
AggPresumptiveP1[[#Totals],[Unable to Produce]], AggPresumptiveP2[[#Totals],[Unable to Produce]], AggPresumptiveP3[[#Totals],[Unable to Produce]], AggPresumptiveP4[[#Totals],[Unable to Produce]], AggPresumptiveP5[[#Totals],[Unable to Produce]]))/
(SUM(AggPresumptiveP1[[#Totals],[Total Presumptive TB]], AggPresumptiveP2[[#Totals],[Total Presumptive TB]],AggPresumptiveP3[[#Totals],[Total Presumptive TB]], AggPresumptiveP4[[#Totals],[Total Presumptive TB]], AggPresumptiveP5[[#Totals],[Total Presumptive TB]]))</f>
        <v>#DIV/0!</v>
      </c>
      <c r="D7" s="372" t="e">
        <f>1-$C$7</f>
        <v>#DIV/0!</v>
      </c>
      <c r="E7" s="369"/>
      <c r="F7" s="368" t="s">
        <v>270</v>
      </c>
      <c r="G7" s="371" t="e">
        <f>(SUM('6a. LAB REGISTER - AGG'!$H$64:$Q$64,))/AggLabP1[[#Totals],[Total Specimens]]</f>
        <v>#DIV/0!</v>
      </c>
      <c r="H7" s="372" t="e">
        <f>1-$G$7</f>
        <v>#DIV/0!</v>
      </c>
      <c r="J7" s="368" t="s">
        <v>270</v>
      </c>
      <c r="K7" s="371" t="e">
        <f>(SUM('7a. TB TX REGISTER - AGG'!$F$62:$L$62))/( SUM(AggTreatmentP1[[#Totals],[Total Patients ]]))</f>
        <v>#DIV/0!</v>
      </c>
      <c r="L7" s="372" t="e">
        <f>1-$K$7</f>
        <v>#DIV/0!</v>
      </c>
      <c r="N7" s="375" t="s">
        <v>254</v>
      </c>
      <c r="O7" s="376" t="e">
        <f>( SUM(AggTPTP1[[#Totals],[3HP]], AggTPTP1[[#Totals],[6H]],AggTPTP1[[#Totals],[Other]]))/AggTPTP1[[#Totals],[Total Patients ]]</f>
        <v>#DIV/0!</v>
      </c>
      <c r="P7" s="377" t="e">
        <f>1-$O$7</f>
        <v>#DIV/0!</v>
      </c>
    </row>
    <row r="8" spans="2:16" ht="30" customHeight="1" x14ac:dyDescent="0.3">
      <c r="B8" s="368" t="s">
        <v>8</v>
      </c>
      <c r="C8" s="371" t="e">
        <f>(SUM(AggPresumptiveP1[[#Totals],[HIV Positive]], AggPresumptiveP1[[#Totals],[HIV Negative]],
AggPresumptiveP2[[#Totals],[HIV Positive]], AggPresumptiveP2[[#Totals],[HIV Negative]],
AggPresumptiveP3[[#Totals],[HIV Positive]], AggPresumptiveP3[[#Totals], [HIV Negative]],
AggPresumptiveP4[[#Totals],[HIV Positive]], AggPresumptiveP4[[#Totals],[HIV Negative]],
AggPresumptiveP5[[#Totals],[HIV Positive]], AggPresumptiveP5[[#Totals], [HIV Negative]]))/
(SUM(AggPresumptiveP1[[#Totals],[Total Presumptive TB]],
AggPresumptiveP2[[#Totals],[Total Presumptive TB]],
AggPresumptiveP3[[#Totals],[Total Presumptive TB]],
AggPresumptiveP4[[#Totals],[Total Presumptive TB]],
AggPresumptiveP5[[#Totals],[Total Presumptive TB]]))</f>
        <v>#DIV/0!</v>
      </c>
      <c r="D8" s="372" t="e">
        <f>1-$C$8</f>
        <v>#DIV/0!</v>
      </c>
      <c r="E8" s="369"/>
      <c r="F8" s="368" t="s">
        <v>243</v>
      </c>
      <c r="G8" s="371" t="e">
        <f>( SUM(AggLabP1[[#Totals],[AFB (-)]], AggLabP1[[#Totals],[AFB (+)]]))/AggLabP1[[#Totals],[Total Specimens]]</f>
        <v>#DIV/0!</v>
      </c>
      <c r="H8" s="372" t="e">
        <f>1-$G$8</f>
        <v>#DIV/0!</v>
      </c>
      <c r="J8" s="368" t="s">
        <v>243</v>
      </c>
      <c r="K8" s="371" t="e">
        <f>( SUM(AggTreatmentP1[[#Totals],[Smear Positive (+/ ++/ +++)]], AggTreatmentP1[[#Totals],[Smear Negative (-)]]))/AggTreatmentP1[[#Totals],[Total Patients ]]</f>
        <v>#DIV/0!</v>
      </c>
      <c r="L8" s="372" t="e">
        <f>1-$K$8</f>
        <v>#DIV/0!</v>
      </c>
      <c r="N8" s="374" t="s">
        <v>360</v>
      </c>
      <c r="O8" s="371" t="e">
        <f>( SUM(AggTPTP1[[#Totals],[TPT Completed]], AggTPTP1[[#Totals],[Transferred out]]))/AggTPTP1[[#Totals],[Total Patients ]]</f>
        <v>#DIV/0!</v>
      </c>
      <c r="P8" s="372" t="e">
        <f>1-$O$8</f>
        <v>#DIV/0!</v>
      </c>
    </row>
    <row r="9" spans="2:16" ht="30" customHeight="1" x14ac:dyDescent="0.3">
      <c r="B9" s="368" t="s">
        <v>270</v>
      </c>
      <c r="C9" s="371" t="e">
        <f>(SUM('5a. PRESUMPTIVE REGISTER - AGG'!$K$44:$T$44,'5a. PRESUMPTIVE REGISTER - AGG'!$K$81:$T$81,'5a. PRESUMPTIVE REGISTER - AGG'!$K$118:$T$118,'5a. PRESUMPTIVE REGISTER - AGG'!$K$155:$T$155,'5a. PRESUMPTIVE REGISTER - AGG'!$K$192:$T$192))/
(SUM(AggPresumptiveP1[[#Totals],[Number Specimens Collected]], AggPresumptiveP2[[#Totals],[Number Specimens Collected]],AggPresumptiveP3[[#Totals],[Number Specimens Collected]], AggPresumptiveP4[[#Totals],[Number Specimens Collected]],AggPresumptiveP5[[#Totals],[Number Specimens Collected]]))</f>
        <v>#DIV/0!</v>
      </c>
      <c r="D9" s="372" t="e">
        <f>1-$C$9</f>
        <v>#DIV/0!</v>
      </c>
      <c r="E9" s="369"/>
      <c r="F9" s="368" t="s">
        <v>224</v>
      </c>
      <c r="G9" s="371" t="e">
        <f>(SUM(AggLabP1[[#Totals], [MTB Not Detected
(N)]], AggLabP1[[#Totals], [MTB Detected
(including trace), 
RIF Resistance not Detected
(T)]], AggLabP1[[#Totals], [MTB Detected (including trace), 
RIF Resistance Detected
(RR)]], AggLabP1[[#Totals], [MTB Detected (including trace), 
RIF Resistance Indeterminate
(TI)]]))/AggLabP1[[#Totals],[Total Specimens]]</f>
        <v>#DIV/0!</v>
      </c>
      <c r="H9" s="372" t="e">
        <f>1-$G$9</f>
        <v>#DIV/0!</v>
      </c>
      <c r="J9" s="368" t="s">
        <v>224</v>
      </c>
      <c r="K9" s="371" t="e">
        <f>(SUM(AggTreatmentP1[[#Totals],[MTB Not Detected
(N)]], AggTreatmentP1[[#Totals],[MTB Detected
(including trace), 
RIF Resistance not Detected
(T)]], AggTreatmentP1[[#Totals],[MTB Detected (including trace), 
RIF Resistance Detected
(RR)]], AggTreatmentP1[[#Totals],[MTB Detected (including trace), 
RIF Resistance Indeterminate
(TI)]], AggTreatmentP1[[#Totals], [Invalid
No Result Error
(I)]]))/AggTreatmentP1[[#Totals],[Total Patients ]]</f>
        <v>#DIV/0!</v>
      </c>
      <c r="L9" s="372" t="e">
        <f>1-$K$9</f>
        <v>#DIV/0!</v>
      </c>
    </row>
    <row r="10" spans="2:16" ht="30" customHeight="1" x14ac:dyDescent="0.3">
      <c r="B10" s="368" t="s">
        <v>243</v>
      </c>
      <c r="C10" s="371" t="e">
        <f>(SUM(AggPresumptiveP1[[#Totals],[AFB (-)]], AggPresumptiveP1[[#Totals],[AFB (+)]],
AggPresumptiveP2[[#Totals],[AFB (-)]], AggPresumptiveP2[[#Totals],[AFB (+)]],
AggPresumptiveP3[[#Totals],[AFB (-)]], AggPresumptiveP3[[#Totals],[AFB (+)]],
AggPresumptiveP4[[#Totals],[AFB (-)]], AggPresumptiveP4[[#Totals],[AFB (+)]],
AggPresumptiveP5[[#Totals],[AFB (-)]], AggPresumptiveP5[[#Totals],[AFB (+)]]))/
(SUM(AggPresumptiveP1[[#Totals],[Total Presumptive TB]], AggPresumptiveP2[[#Totals],[Total Presumptive TB]],AggPresumptiveP3[[#Totals],[Total Presumptive TB]], AggPresumptiveP4[[#Totals],[Total Presumptive TB]],AggPresumptiveP5[[#Totals],[Total Presumptive TB]]))</f>
        <v>#DIV/0!</v>
      </c>
      <c r="D10" s="372" t="e">
        <f>1-$C$10</f>
        <v>#DIV/0!</v>
      </c>
      <c r="E10" s="369"/>
      <c r="F10" s="368" t="s">
        <v>235</v>
      </c>
      <c r="G10" s="371" t="e">
        <f>( SUM(AggLabP1[[#Totals],[LAM Positive]], AggLabP1[[#Totals],[LAM Negative]]))/AggLabP1[[#Totals],[Total Specimens]]</f>
        <v>#DIV/0!</v>
      </c>
      <c r="H10" s="372" t="e">
        <f>1-$G$10</f>
        <v>#DIV/0!</v>
      </c>
      <c r="J10" s="374" t="s">
        <v>244</v>
      </c>
      <c r="K10" s="371" t="e">
        <f>( SUM(AggTreatmentP1[[#Totals],[Enrolled in ART]]))/( SUM(AggTreatmentP1[[#Totals],[Known HIV Positive (KPos)]], AggTreatmentP1[[#Totals],[Newly Tested HIV Positive (NPos)]]))</f>
        <v>#DIV/0!</v>
      </c>
      <c r="L10" s="372" t="e">
        <f>1-$K$10</f>
        <v>#DIV/0!</v>
      </c>
    </row>
    <row r="11" spans="2:16" ht="30" customHeight="1" x14ac:dyDescent="0.3">
      <c r="B11" s="368" t="s">
        <v>224</v>
      </c>
      <c r="C11" s="371" t="e">
        <f>(SUM(AggPresumptiveP1[[#Totals], [MTB Not Detected
(N)]], AggPresumptiveP1[[#Totals], [MTB Detected
(including trace), 
RIF Resistance not Detected
(T)]], AggPresumptiveP1[[#Totals], [MTB Detected (including trace), 
RIF Resistance Detected
(RR)]], AggPresumptiveP1[[#Totals], [MTB Detected (including trace), 
RIF Resistance Indeterminate
(TI)]], AggPresumptiveP2[[#Totals], [MTB Not Detected
(N)]], AggPresumptiveP2[[#Totals], [MTB Detected
(including trace), 
RIF Resistance not Detected
(T)]], AggPresumptiveP2[[#Totals], [MTB Detected (including trace), 
RIF Resistance Detected
(RR)]], AggPresumptiveP2[[#Totals], [MTB Detected (including trace), 
RIF Resistance Indeterminate
(TI)]], AggPresumptiveP3[[#Totals], [MTB Not Detected
(N)]], AggPresumptiveP3[[#Totals], [MTB Detected
(including trace), 
RIF Resistance not Detected
(T)]], AggPresumptiveP3[[#Totals], [MTB Detected (including trace), 
RIF Resistance Detected
(RR)]], AggPresumptiveP3[[#Totals], [MTB Detected (including trace), 
RIF Resistance Indeterminate
(TI)]], AggPresumptiveP4[[#Totals], [MTB Not Detected
(N)]], AggPresumptiveP4[[#Totals], [MTB Detected
(including trace), 
RIF Resistance not Detected
(T)]], AggPresumptiveP4[[#Totals], [MTB Detected (including trace), 
RIF Resistance Detected
(RR)]], AggPresumptiveP4[[#Totals], [MTB Detected (including trace), 
RIF Resistance Indeterminate
(TI)]], AggPresumptiveP5[[#Totals], [MTB Not Detected
(N)]], AggPresumptiveP5[[#Totals], [MTB Detected
(including trace), 
RIF Resistance not Detected
(T)]], AggPresumptiveP5[[#Totals], [MTB Detected (including trace), 
RIF Resistance Detected
(RR)]], AggPresumptiveP5[[#Totals], [MTB Detected (including trace), 
RIF Resistance Indeterminate
(TI)]]))/(SUM(AggPresumptiveP1[[#Totals],[Number Specimens Collected]], AggPresumptiveP2[[#Totals],[Number Specimens Collected]],AggPresumptiveP3[[#Totals],[Number Specimens Collected]], AggPresumptiveP4[[#Totals],[Number Specimens Collected]],AggPresumptiveP5[[#Totals],[Number Specimens Collected]]))</f>
        <v>#DIV/0!</v>
      </c>
      <c r="D11" s="372" t="e">
        <f>1-$C$11</f>
        <v>#DIV/0!</v>
      </c>
      <c r="E11" s="369"/>
    </row>
    <row r="12" spans="2:16" ht="30" customHeight="1" x14ac:dyDescent="0.3">
      <c r="B12" s="368" t="s">
        <v>235</v>
      </c>
      <c r="C12" s="371" t="e">
        <f>(SUM(AggPresumptiveP1[[#Totals],[LAM Positive]], AggPresumptiveP1[[#Totals],[LAM Negative]],
AggPresumptiveP2[[#Totals],[LAM Positive]], AggPresumptiveP2[[#Totals],[LAM Negative]],
AggPresumptiveP3[[#Totals],[LAM Positive]], AggPresumptiveP3[[#Totals], [LAM Negative]],
AggPresumptiveP4[[#Totals],[LAM Positive]], AggPresumptiveP4[[#Totals],[LAM Negative]],
AggPresumptiveP5[[#Totals],[LAM Positive]], AggPresumptiveP5[[#Totals], [LAM Negative]]))/
(SUM(AggPresumptiveP1[[#Totals],[Total Presumptive TB]], AggPresumptiveP2[[#Totals],[Total Presumptive TB]],AggPresumptiveP3[[#Totals],[Total Presumptive TB]], AggPresumptiveP4[[#Totals],[Total Presumptive TB]],AggPresumptiveP5[[#Totals],[Total Presumptive TB]]))</f>
        <v>#DIV/0!</v>
      </c>
      <c r="D12" s="372" t="e">
        <f>1-$C$12</f>
        <v>#DIV/0!</v>
      </c>
    </row>
    <row r="13" spans="2:16" ht="30" customHeight="1" x14ac:dyDescent="0.3">
      <c r="C13" s="373"/>
    </row>
    <row r="14" spans="2:16" ht="30" customHeight="1" x14ac:dyDescent="0.3">
      <c r="B14" s="697" t="s">
        <v>271</v>
      </c>
      <c r="C14" s="697"/>
      <c r="D14" s="697"/>
      <c r="F14" s="698" t="s">
        <v>272</v>
      </c>
      <c r="G14" s="698"/>
      <c r="H14" s="698"/>
      <c r="J14" s="699" t="s">
        <v>287</v>
      </c>
      <c r="K14" s="699"/>
      <c r="L14" s="699"/>
      <c r="N14" s="694" t="s">
        <v>288</v>
      </c>
      <c r="O14" s="694"/>
      <c r="P14" s="694"/>
    </row>
    <row r="15" spans="2:16" ht="30" customHeight="1" x14ac:dyDescent="0.3">
      <c r="B15" s="370" t="s">
        <v>241</v>
      </c>
      <c r="C15" s="695" t="s">
        <v>300</v>
      </c>
      <c r="D15" s="696"/>
      <c r="F15" s="370" t="s">
        <v>241</v>
      </c>
      <c r="G15" s="695" t="s">
        <v>300</v>
      </c>
      <c r="H15" s="696"/>
      <c r="J15" s="370" t="s">
        <v>241</v>
      </c>
      <c r="K15" s="695" t="s">
        <v>300</v>
      </c>
      <c r="L15" s="696"/>
      <c r="N15" s="370" t="s">
        <v>241</v>
      </c>
      <c r="O15" s="695" t="s">
        <v>300</v>
      </c>
      <c r="P15" s="696"/>
    </row>
    <row r="16" spans="2:16" ht="30" customHeight="1" x14ac:dyDescent="0.3">
      <c r="B16" s="366" t="s">
        <v>14</v>
      </c>
      <c r="C16" s="371" t="e" cm="1">
        <f t="array" ref="C16">(SUM(COUNTIF(PLPresumptive[Age 
(&lt;15, 15+)],{"0-14","15+"})))/'5b. PRESUMPTIVE REGISTER -  PL'!$D$9</f>
        <v>#DIV/0!</v>
      </c>
      <c r="D16" s="372" t="e">
        <f>1-$C$16</f>
        <v>#DIV/0!</v>
      </c>
      <c r="F16" s="368" t="s">
        <v>273</v>
      </c>
      <c r="G16" s="371" t="e" cm="1">
        <f t="array" ref="G16">(SUM(COUNTIF(PLLab[Available in Lab Register?], {"Yes"})))/'5b. PRESUMPTIVE REGISTER -  PL'!$D$9</f>
        <v>#DIV/0!</v>
      </c>
      <c r="H16" s="372" t="e">
        <f>1-G16</f>
        <v>#DIV/0!</v>
      </c>
      <c r="J16" s="374" t="s">
        <v>273</v>
      </c>
      <c r="K16" s="390" t="e" cm="1">
        <f t="array" ref="K16">(SUM(COUNTIF(PLTreatment[Available in Register?], {"Yes"})))/'5b. PRESUMPTIVE REGISTER -  PL'!$D$9</f>
        <v>#DIV/0!</v>
      </c>
      <c r="L16" s="372" t="e">
        <f t="shared" ref="L16:L19" si="0">1-K16</f>
        <v>#DIV/0!</v>
      </c>
      <c r="N16" s="374" t="s">
        <v>273</v>
      </c>
      <c r="O16" s="390" t="e" cm="1">
        <f t="array" ref="O16">(SUM(COUNTIF(PLTPT[Available in TPT Register?], {"Yes"})))/'5b. PRESUMPTIVE REGISTER -  PL'!$D$9</f>
        <v>#DIV/0!</v>
      </c>
      <c r="P16" s="372" t="e">
        <f>1-$O$16</f>
        <v>#DIV/0!</v>
      </c>
    </row>
    <row r="17" spans="2:16" ht="30" customHeight="1" x14ac:dyDescent="0.3">
      <c r="B17" s="366" t="s">
        <v>240</v>
      </c>
      <c r="C17" s="371" t="e" cm="1">
        <f t="array" ref="C17">(SUM(COUNTIF(PLPresumptive[Specimen Collection Documented],{"Yes"})))/'5b. PRESUMPTIVE REGISTER -  PL'!$D$9</f>
        <v>#DIV/0!</v>
      </c>
      <c r="D17" s="372" t="e">
        <f>1-$C$17</f>
        <v>#DIV/0!</v>
      </c>
      <c r="F17" s="368" t="s">
        <v>14</v>
      </c>
      <c r="G17" s="371" t="e" cm="1">
        <f t="array" ref="G17">(SUM(COUNTIF(PLLab[Age
(&lt;15, 15+)], {"0-14","15+"})))/(SUM(COUNTIF(PLLab[Available in Lab Register?], {"Yes"})))</f>
        <v>#DIV/0!</v>
      </c>
      <c r="H17" s="372" t="e">
        <f>1-G17</f>
        <v>#DIV/0!</v>
      </c>
      <c r="J17" s="374" t="s">
        <v>14</v>
      </c>
      <c r="K17" s="390" t="e" cm="1">
        <f t="array" ref="K17">(SUM(COUNTIF(PLTreatment[Age 
(&lt;15, 15+)], {"0-14","15+"})))/(SUM(COUNTIF(PLTreatment[Available in Register?], {"Yes"})))</f>
        <v>#DIV/0!</v>
      </c>
      <c r="L17" s="372" t="e">
        <f t="shared" si="0"/>
        <v>#DIV/0!</v>
      </c>
      <c r="N17" s="374" t="s">
        <v>301</v>
      </c>
      <c r="O17" s="390" t="e" cm="1">
        <f t="array" ref="O17">(SUM(COUNTIF(PLTPT[Age 
(&lt;15, 15+)], {"0-14","15+"})))/(SUM(COUNTIF(PLTPT[Available in TPT Register?], {"Yes"})))</f>
        <v>#DIV/0!</v>
      </c>
      <c r="P17" s="372" t="e">
        <f>1-$O$17</f>
        <v>#DIV/0!</v>
      </c>
    </row>
    <row r="18" spans="2:16" ht="30" customHeight="1" x14ac:dyDescent="0.3">
      <c r="B18" s="368" t="s">
        <v>267</v>
      </c>
      <c r="C18" s="371" t="e">
        <f>(COUNTA(PLPresumptive[Date of Specimen Collection*]))/'5b. PRESUMPTIVE REGISTER -  PL'!$D$9</f>
        <v>#DIV/0!</v>
      </c>
      <c r="D18" s="372" t="e">
        <f>1-$C$18</f>
        <v>#DIV/0!</v>
      </c>
      <c r="F18" s="368" t="s">
        <v>274</v>
      </c>
      <c r="G18" s="371" t="e" cm="1">
        <f t="array" ref="G18">(COUNTA(PLLab[Date specimen received by lab*]))/(SUM(COUNTIF(PLLab[Available in Lab Register?], {"Yes"})))</f>
        <v>#DIV/0!</v>
      </c>
      <c r="H18" s="372" t="e">
        <f t="shared" ref="H18:H27" si="1">1-G18</f>
        <v>#DIV/0!</v>
      </c>
      <c r="J18" s="374" t="s">
        <v>278</v>
      </c>
      <c r="K18" s="390" t="e" cm="1">
        <f t="array" ref="K18">(COUNTA(PLTreatment[Date of Registration*]))/(SUM(COUNTIF(PLTreatment[Available in Register?], {"Yes"})))</f>
        <v>#DIV/0!</v>
      </c>
      <c r="L18" s="372" t="e">
        <f t="shared" si="0"/>
        <v>#DIV/0!</v>
      </c>
      <c r="N18" s="374" t="s">
        <v>284</v>
      </c>
      <c r="O18" s="390" t="e" cm="1">
        <f t="array" ref="O18">(COUNTA(PLTPT[Date TPT Started*]))/(SUM(COUNTIF(PLTPT[Available in TPT Register?], {"Yes"})))</f>
        <v>#DIV/0!</v>
      </c>
      <c r="P18" s="372" t="e">
        <f>1-$O$18</f>
        <v>#DIV/0!</v>
      </c>
    </row>
    <row r="19" spans="2:16" ht="30" customHeight="1" x14ac:dyDescent="0.3">
      <c r="B19" s="368" t="s">
        <v>268</v>
      </c>
      <c r="C19" s="371" t="e">
        <f>(COUNTA(PLPresumptive[Date Specimen was Sent to Lab*]))/'5b. PRESUMPTIVE REGISTER -  PL'!$D$9</f>
        <v>#DIV/0!</v>
      </c>
      <c r="D19" s="372" t="e">
        <f>1-$C$19</f>
        <v>#DIV/0!</v>
      </c>
      <c r="F19" s="368" t="s">
        <v>266</v>
      </c>
      <c r="G19" s="371" t="e" cm="1">
        <f t="array" ref="G19">(SUM(COUNTIF(PLLab[Type of Specimen], {"Sputum","Urine","Stool","Other"})))/(SUM(COUNTIF(PLLab[Available in Lab Register?], {"Yes"})))</f>
        <v>#DIV/0!</v>
      </c>
      <c r="H19" s="372" t="e">
        <f t="shared" si="1"/>
        <v>#DIV/0!</v>
      </c>
      <c r="J19" s="374" t="s">
        <v>279</v>
      </c>
      <c r="K19" s="390" t="e" cm="1">
        <f t="array" ref="K19">(COUNTA(PLTreatment[Date Treatment Started*]))/(SUM(COUNTIF(PLTreatment[Available in Register?], {"Yes"})))</f>
        <v>#DIV/0!</v>
      </c>
      <c r="L19" s="372" t="e">
        <f t="shared" si="0"/>
        <v>#DIV/0!</v>
      </c>
      <c r="N19" s="375" t="s">
        <v>239</v>
      </c>
      <c r="O19" s="390" t="e" cm="1">
        <f t="array" ref="O19">(SUM(COUNTIF(PLTPT[New/Existing ART Patient], {"Newly enrolled on ART","Already enrolled on ART"})))/(SUM(COUNTIF(PLTPT[Available in TPT Register?], {"Yes"})))</f>
        <v>#DIV/0!</v>
      </c>
      <c r="P19" s="372" t="e">
        <f>1-$O$19</f>
        <v>#DIV/0!</v>
      </c>
    </row>
    <row r="20" spans="2:16" ht="30" customHeight="1" x14ac:dyDescent="0.3">
      <c r="B20" s="368" t="s">
        <v>269</v>
      </c>
      <c r="C20" s="371" t="e">
        <f>(COUNTA(PLPresumptive[Date TB Result Released*]))/'5b. PRESUMPTIVE REGISTER -  PL'!$D$9</f>
        <v>#DIV/0!</v>
      </c>
      <c r="D20" s="372" t="e">
        <f>1-$C$20</f>
        <v>#DIV/0!</v>
      </c>
      <c r="F20" s="368" t="s">
        <v>275</v>
      </c>
      <c r="G20" s="371" t="e" cm="1">
        <f t="array" ref="G20">(SUM(COUNTIF(PLLab[Type of Test], {"mWRD MTB/RIF","AFB","LAM","Other"})))/(SUM(COUNTIF(PLLab[Available in Lab Register?], {"Yes"})))</f>
        <v>#DIV/0!</v>
      </c>
      <c r="H20" s="372" t="e">
        <f t="shared" si="1"/>
        <v>#DIV/0!</v>
      </c>
      <c r="J20" s="368" t="s">
        <v>227</v>
      </c>
      <c r="K20" s="371" t="e" cm="1">
        <f t="array" ref="K20">(SUM(COUNTIF(PLTreatment[mWRD MTB Result],{"MTB Detected","MTB Not Detected"})))/(SUM(COUNTIF(PLTreatment[Available in Register?], {"Yes"})))</f>
        <v>#DIV/0!</v>
      </c>
      <c r="L20" s="372" t="e">
        <f>1-K20</f>
        <v>#DIV/0!</v>
      </c>
      <c r="N20" s="374" t="s">
        <v>258</v>
      </c>
      <c r="O20" s="390" t="e" cm="1">
        <f t="array" ref="O20">(SUM(COUNTIF(PLTPT[TPT Regimen], {"3HP","6H","Other"})))/(SUM(COUNTIF(PLTPT[Available in TPT Register?], {"Yes"})))</f>
        <v>#DIV/0!</v>
      </c>
      <c r="P20" s="372" t="e">
        <f>1-$O$20</f>
        <v>#DIV/0!</v>
      </c>
    </row>
    <row r="21" spans="2:16" ht="30" customHeight="1" x14ac:dyDescent="0.3">
      <c r="B21" s="368" t="s">
        <v>270</v>
      </c>
      <c r="C21" s="371" t="e">
        <f>SUM('5b. PRESUMPTIVE REGISTER -  PL'!$J$38:$M$38)/'5b. PRESUMPTIVE REGISTER -  PL'!$D$9</f>
        <v>#DIV/0!</v>
      </c>
      <c r="D21" s="372" t="e">
        <f>1-$C$21</f>
        <v>#DIV/0!</v>
      </c>
      <c r="F21" s="368" t="s">
        <v>277</v>
      </c>
      <c r="G21" s="404" t="e" cm="1">
        <f t="array" ref="G21">(SUM('6b. LAB REGISTER - PL'!$I$34:$K$34,'6b. LAB REGISTER - PL'!$M$34))/(SUM(COUNTIF(PLLab[Available in Lab Register?], {"Yes"})))</f>
        <v>#DIV/0!</v>
      </c>
      <c r="H21" s="372" t="e">
        <f t="shared" si="1"/>
        <v>#DIV/0!</v>
      </c>
      <c r="J21" s="368" t="s">
        <v>228</v>
      </c>
      <c r="K21" s="371" t="e" cm="1">
        <f t="array" ref="K21">(SUM(COUNTIF(PLTreatment[mWRD RIF Result],{"RIF Resistance Detected","RIF Resistance Not Detected","RIF Indeterminate"})))/(SUM(COUNTIF(PLTreatment[Available in Register?], {"Yes"})))</f>
        <v>#DIV/0!</v>
      </c>
      <c r="L21" s="372" t="e">
        <f>1-K21</f>
        <v>#DIV/0!</v>
      </c>
      <c r="N21" s="374" t="s">
        <v>202</v>
      </c>
      <c r="O21" s="390" t="e" cm="1">
        <f t="array" ref="O21">(SUM(COUNTIF(PLTPT[[TPT Outcome ]], {"Completed TPT","Developed Active TB","Died","Transferred Out"})))/(SUM(COUNTIF(PLTPT[Available in TPT Register?], {"Yes"})))</f>
        <v>#DIV/0!</v>
      </c>
      <c r="P21" s="372" t="e">
        <f>1-$O$21</f>
        <v>#DIV/0!</v>
      </c>
    </row>
    <row r="22" spans="2:16" ht="30" customHeight="1" x14ac:dyDescent="0.3">
      <c r="B22" s="368" t="s">
        <v>16</v>
      </c>
      <c r="C22" s="371" t="e" cm="1">
        <f t="array" ref="C22">(SUM(COUNTIF(PLPresumptive[AFB Result],{"Positive","Negative"})))/'5b. PRESUMPTIVE REGISTER -  PL'!$D$9</f>
        <v>#DIV/0!</v>
      </c>
      <c r="D22" s="372" t="e">
        <f>1-$C$22</f>
        <v>#DIV/0!</v>
      </c>
      <c r="F22" s="368" t="s">
        <v>16</v>
      </c>
      <c r="G22" s="371" t="e" cm="1">
        <f t="array" ref="G22">(SUM(COUNTIF(PLLab[AFB Result],{"Positive","Negative"})))/(SUM(COUNTIF(PLLab[Available in Lab Register?], {"Yes"})))</f>
        <v>#DIV/0!</v>
      </c>
      <c r="H22" s="372" t="e">
        <f t="shared" si="1"/>
        <v>#DIV/0!</v>
      </c>
    </row>
    <row r="23" spans="2:16" ht="30" customHeight="1" x14ac:dyDescent="0.3">
      <c r="B23" s="368" t="s">
        <v>155</v>
      </c>
      <c r="C23" s="371" t="e" cm="1">
        <f t="array" ref="C23">(SUM(COUNTIF(PLPresumptive[LAM Result],{"LAM Positive","LAM Negative","LAM Invalid"})))/'5b. PRESUMPTIVE REGISTER -  PL'!$D$9</f>
        <v>#DIV/0!</v>
      </c>
      <c r="D23" s="372" t="e">
        <f>1-$C$23</f>
        <v>#DIV/0!</v>
      </c>
      <c r="F23" s="368" t="s">
        <v>155</v>
      </c>
      <c r="G23" s="371" t="e" cm="1">
        <f t="array" ref="G23">(SUM(COUNTIF(PLLab[LAM Result],{"LAM Positive","LAM Negative","LAM Invalid"})))/(SUM(COUNTIF(PLLab[Available in Lab Register?], {"Yes"})))</f>
        <v>#DIV/0!</v>
      </c>
      <c r="H23" s="372" t="e">
        <f t="shared" si="1"/>
        <v>#DIV/0!</v>
      </c>
    </row>
    <row r="24" spans="2:16" ht="30" customHeight="1" x14ac:dyDescent="0.3">
      <c r="B24" s="368" t="s">
        <v>227</v>
      </c>
      <c r="C24" s="371" t="e" cm="1">
        <f t="array" ref="C24">(SUM(COUNTIF(PLPresumptive[mWRD MTB Result],{"MTB Detected","MTB Not Detected"})))/'5b. PRESUMPTIVE REGISTER -  PL'!$D$9</f>
        <v>#DIV/0!</v>
      </c>
      <c r="D24" s="372" t="e">
        <f>1-$C$24</f>
        <v>#DIV/0!</v>
      </c>
      <c r="F24" s="368" t="s">
        <v>227</v>
      </c>
      <c r="G24" s="371" t="e" cm="1">
        <f t="array" ref="G24">(SUM(COUNTIF(PLLab[mWRD MTB Result],{"MTB Detected","MTB Not Detected"})))/(SUM(COUNTIF(PLLab[Available in Lab Register?], {"Yes"})))</f>
        <v>#DIV/0!</v>
      </c>
      <c r="H24" s="372" t="e">
        <f t="shared" si="1"/>
        <v>#DIV/0!</v>
      </c>
    </row>
    <row r="25" spans="2:16" ht="30" customHeight="1" x14ac:dyDescent="0.3">
      <c r="B25" s="368" t="s">
        <v>228</v>
      </c>
      <c r="C25" s="371" t="e" cm="1">
        <f t="array" ref="C25">(SUM(COUNTIF(PLPresumptive[mWRD RIF Result],{"RIF Resistance Detected","RIF Resistance Not Detected","RIF Indeterminate"})))/'5b. PRESUMPTIVE REGISTER -  PL'!$D$9</f>
        <v>#DIV/0!</v>
      </c>
      <c r="D25" s="372" t="e">
        <f>1-$C$25</f>
        <v>#DIV/0!</v>
      </c>
      <c r="F25" s="368" t="s">
        <v>228</v>
      </c>
      <c r="G25" s="371" t="e" cm="1">
        <f t="array" ref="G25">(SUM(COUNTIF(PLLab[mWRD RIF Result],{"RIF Resistance Detected","RIF Resistance Not Detected","RIF Indeterminate"})))/(SUM(COUNTIF(PLLab[Available in Lab Register?], {"Yes"})))</f>
        <v>#DIV/0!</v>
      </c>
      <c r="H25" s="372" t="e">
        <f t="shared" si="1"/>
        <v>#DIV/0!</v>
      </c>
    </row>
    <row r="26" spans="2:16" ht="30" customHeight="1" x14ac:dyDescent="0.3">
      <c r="F26" s="368" t="s">
        <v>259</v>
      </c>
      <c r="G26" s="371" t="e" cm="1">
        <f t="array" ref="G26">(SUM(COUNTIF(PLLab[Error/Invalid/Incomplete Test],{"Yes"})))/(SUM(COUNTIF(PLLab[Available in Lab Register?], {"Yes"})))</f>
        <v>#DIV/0!</v>
      </c>
      <c r="H26" s="372" t="e">
        <f t="shared" si="1"/>
        <v>#DIV/0!</v>
      </c>
    </row>
    <row r="27" spans="2:16" ht="30" customHeight="1" x14ac:dyDescent="0.3">
      <c r="F27" s="368" t="s">
        <v>276</v>
      </c>
      <c r="G27" s="371" t="e" cm="1">
        <f t="array" ref="G27">(COUNTA(PLLab[Date Lab Results Released*]))/(SUM(COUNTIF(PLLab[Available in Lab Register?], {"Yes"})))</f>
        <v>#DIV/0!</v>
      </c>
      <c r="H27" s="372" t="e">
        <f t="shared" si="1"/>
        <v>#DIV/0!</v>
      </c>
    </row>
    <row r="28" spans="2:16" ht="30" customHeight="1" x14ac:dyDescent="0.3"/>
    <row r="29" spans="2:16" ht="30" customHeight="1" x14ac:dyDescent="0.3">
      <c r="B29" s="397" t="s">
        <v>298</v>
      </c>
      <c r="C29" s="398" t="s">
        <v>299</v>
      </c>
    </row>
    <row r="30" spans="2:16" ht="30" customHeight="1" x14ac:dyDescent="0.3"/>
    <row r="31" spans="2:16" ht="30" customHeight="1" x14ac:dyDescent="0.3"/>
    <row r="32" spans="2:16" ht="30" customHeight="1" x14ac:dyDescent="0.3"/>
    <row r="33" ht="30" customHeight="1" x14ac:dyDescent="0.3"/>
    <row r="34" ht="30" customHeight="1" x14ac:dyDescent="0.3"/>
    <row r="35" ht="30" customHeight="1" x14ac:dyDescent="0.3"/>
    <row r="36" ht="30" customHeight="1" x14ac:dyDescent="0.3"/>
    <row r="37" ht="30" customHeight="1" x14ac:dyDescent="0.3"/>
    <row r="38" ht="30" customHeight="1" x14ac:dyDescent="0.3"/>
    <row r="39" ht="30" customHeight="1" x14ac:dyDescent="0.3"/>
    <row r="40" ht="30" customHeight="1" x14ac:dyDescent="0.3"/>
    <row r="41" ht="30" customHeight="1" x14ac:dyDescent="0.3"/>
    <row r="42" ht="30" customHeight="1" x14ac:dyDescent="0.3"/>
    <row r="43" ht="30" customHeight="1" x14ac:dyDescent="0.3"/>
    <row r="44" ht="30" customHeight="1" x14ac:dyDescent="0.3"/>
    <row r="45" ht="30" customHeight="1" x14ac:dyDescent="0.3"/>
    <row r="46" ht="30" customHeight="1" x14ac:dyDescent="0.3"/>
    <row r="47" ht="30" customHeight="1" x14ac:dyDescent="0.3"/>
    <row r="48" ht="30" customHeight="1" x14ac:dyDescent="0.3"/>
  </sheetData>
  <mergeCells count="16">
    <mergeCell ref="B14:D14"/>
    <mergeCell ref="F14:H14"/>
    <mergeCell ref="J14:L14"/>
    <mergeCell ref="N14:P14"/>
    <mergeCell ref="C15:D15"/>
    <mergeCell ref="G15:H15"/>
    <mergeCell ref="K15:L15"/>
    <mergeCell ref="O15:P15"/>
    <mergeCell ref="N3:P3"/>
    <mergeCell ref="O4:P4"/>
    <mergeCell ref="B3:D3"/>
    <mergeCell ref="F3:H3"/>
    <mergeCell ref="J3:L3"/>
    <mergeCell ref="C4:D4"/>
    <mergeCell ref="G4:H4"/>
    <mergeCell ref="K4:L4"/>
  </mergeCells>
  <conditionalFormatting sqref="P16:P21 D5:D12 H5:H10 L5:L10 P6:P8 L16:L21">
    <cfRule type="dataBar" priority="37">
      <dataBar showValue="0">
        <cfvo type="num" val="0"/>
        <cfvo type="num" val="1"/>
        <color theme="0"/>
      </dataBar>
      <extLst>
        <ext xmlns:x14="http://schemas.microsoft.com/office/spreadsheetml/2009/9/main" uri="{B025F937-C7B1-47D3-B67F-A62EFF666E3E}">
          <x14:id>{27680FF1-06CC-435E-93EE-502DEA1CB97F}</x14:id>
        </ext>
      </extLst>
    </cfRule>
    <cfRule type="expression" dxfId="437" priority="38">
      <formula>C5&gt;0.9</formula>
    </cfRule>
    <cfRule type="expression" dxfId="436" priority="40">
      <formula>C5&lt;0.9</formula>
    </cfRule>
  </conditionalFormatting>
  <conditionalFormatting sqref="P16:P21 D5:D12 H5:H10 L5:L10 P6:P8 L16:L21">
    <cfRule type="expression" dxfId="435" priority="39">
      <formula>C5=0.9</formula>
    </cfRule>
  </conditionalFormatting>
  <conditionalFormatting sqref="P5">
    <cfRule type="dataBar" priority="21">
      <dataBar showValue="0">
        <cfvo type="num" val="0"/>
        <cfvo type="num" val="1"/>
        <color theme="0"/>
      </dataBar>
      <extLst>
        <ext xmlns:x14="http://schemas.microsoft.com/office/spreadsheetml/2009/9/main" uri="{B025F937-C7B1-47D3-B67F-A62EFF666E3E}">
          <x14:id>{9AC571E6-C010-47BE-98A5-73AF2E58DFC6}</x14:id>
        </ext>
      </extLst>
    </cfRule>
    <cfRule type="expression" dxfId="434" priority="22">
      <formula>O5&gt;0.9</formula>
    </cfRule>
    <cfRule type="expression" dxfId="433" priority="24">
      <formula>O5&lt;0.9</formula>
    </cfRule>
  </conditionalFormatting>
  <conditionalFormatting sqref="P5">
    <cfRule type="expression" dxfId="432" priority="23">
      <formula>O5=0.9</formula>
    </cfRule>
  </conditionalFormatting>
  <conditionalFormatting sqref="D16:D25">
    <cfRule type="dataBar" priority="13">
      <dataBar showValue="0">
        <cfvo type="num" val="0"/>
        <cfvo type="num" val="1"/>
        <color theme="0"/>
      </dataBar>
      <extLst>
        <ext xmlns:x14="http://schemas.microsoft.com/office/spreadsheetml/2009/9/main" uri="{B025F937-C7B1-47D3-B67F-A62EFF666E3E}">
          <x14:id>{806FFBB0-50EF-4855-863D-560F77FD98B0}</x14:id>
        </ext>
      </extLst>
    </cfRule>
    <cfRule type="expression" dxfId="431" priority="14">
      <formula>C16&gt;0.9</formula>
    </cfRule>
    <cfRule type="expression" dxfId="430" priority="16">
      <formula>C16&lt;0.9</formula>
    </cfRule>
  </conditionalFormatting>
  <conditionalFormatting sqref="D16:D25">
    <cfRule type="expression" dxfId="429" priority="15">
      <formula>C16=0.9</formula>
    </cfRule>
  </conditionalFormatting>
  <conditionalFormatting sqref="H16:H27">
    <cfRule type="dataBar" priority="9">
      <dataBar showValue="0">
        <cfvo type="num" val="0"/>
        <cfvo type="num" val="1"/>
        <color theme="0"/>
      </dataBar>
      <extLst>
        <ext xmlns:x14="http://schemas.microsoft.com/office/spreadsheetml/2009/9/main" uri="{B025F937-C7B1-47D3-B67F-A62EFF666E3E}">
          <x14:id>{1E30CACF-31A7-410C-B286-1A5BFD02C212}</x14:id>
        </ext>
      </extLst>
    </cfRule>
    <cfRule type="expression" dxfId="428" priority="10">
      <formula>G16&gt;0.9</formula>
    </cfRule>
    <cfRule type="expression" dxfId="427" priority="12">
      <formula>G16&lt;0.9</formula>
    </cfRule>
  </conditionalFormatting>
  <conditionalFormatting sqref="H16:H27">
    <cfRule type="expression" dxfId="426" priority="11">
      <formula>G16=0.9</formula>
    </cfRule>
  </conditionalFormatting>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27680FF1-06CC-435E-93EE-502DEA1CB97F}">
            <x14:dataBar minLength="0" maxLength="100" gradient="0" direction="rightToLeft">
              <x14:cfvo type="num">
                <xm:f>0</xm:f>
              </x14:cfvo>
              <x14:cfvo type="num">
                <xm:f>1</xm:f>
              </x14:cfvo>
              <x14:negativeFillColor rgb="FFFF0000"/>
              <x14:axisColor rgb="FF000000"/>
            </x14:dataBar>
          </x14:cfRule>
          <xm:sqref>P16:P21 D5:D12 H5:H10 L5:L10 P6:P8 L16:L21</xm:sqref>
        </x14:conditionalFormatting>
        <x14:conditionalFormatting xmlns:xm="http://schemas.microsoft.com/office/excel/2006/main">
          <x14:cfRule type="dataBar" id="{9AC571E6-C010-47BE-98A5-73AF2E58DFC6}">
            <x14:dataBar minLength="0" maxLength="100" gradient="0" direction="rightToLeft">
              <x14:cfvo type="num">
                <xm:f>0</xm:f>
              </x14:cfvo>
              <x14:cfvo type="num">
                <xm:f>1</xm:f>
              </x14:cfvo>
              <x14:negativeFillColor rgb="FFFF0000"/>
              <x14:axisColor rgb="FF000000"/>
            </x14:dataBar>
          </x14:cfRule>
          <xm:sqref>P5</xm:sqref>
        </x14:conditionalFormatting>
        <x14:conditionalFormatting xmlns:xm="http://schemas.microsoft.com/office/excel/2006/main">
          <x14:cfRule type="dataBar" id="{806FFBB0-50EF-4855-863D-560F77FD98B0}">
            <x14:dataBar minLength="0" maxLength="100" gradient="0" direction="rightToLeft">
              <x14:cfvo type="num">
                <xm:f>0</xm:f>
              </x14:cfvo>
              <x14:cfvo type="num">
                <xm:f>1</xm:f>
              </x14:cfvo>
              <x14:negativeFillColor rgb="FFFF0000"/>
              <x14:axisColor rgb="FF000000"/>
            </x14:dataBar>
          </x14:cfRule>
          <xm:sqref>D16:D25</xm:sqref>
        </x14:conditionalFormatting>
        <x14:conditionalFormatting xmlns:xm="http://schemas.microsoft.com/office/excel/2006/main">
          <x14:cfRule type="dataBar" id="{1E30CACF-31A7-410C-B286-1A5BFD02C212}">
            <x14:dataBar minLength="0" maxLength="100" gradient="0" direction="rightToLeft">
              <x14:cfvo type="num">
                <xm:f>0</xm:f>
              </x14:cfvo>
              <x14:cfvo type="num">
                <xm:f>1</xm:f>
              </x14:cfvo>
              <x14:negativeFillColor rgb="FFFF0000"/>
              <x14:axisColor rgb="FF000000"/>
            </x14:dataBar>
          </x14:cfRule>
          <xm:sqref>H16:H27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499984740745262"/>
  </sheetPr>
  <dimension ref="A1:AH56"/>
  <sheetViews>
    <sheetView showGridLines="0" zoomScale="63" zoomScaleNormal="85" workbookViewId="0"/>
  </sheetViews>
  <sheetFormatPr defaultRowHeight="14.4" x14ac:dyDescent="0.3"/>
  <cols>
    <col min="1" max="1" width="1.5546875" customWidth="1"/>
    <col min="2" max="2" width="17.33203125" customWidth="1"/>
    <col min="3" max="3" width="20.88671875" customWidth="1"/>
    <col min="4" max="6" width="3.6640625" customWidth="1"/>
    <col min="7" max="7" width="6.33203125" customWidth="1"/>
    <col min="8" max="8" width="8.109375" style="5" customWidth="1"/>
    <col min="9" max="11" width="8.6640625" customWidth="1"/>
    <col min="12" max="14" width="5.6640625" style="107" customWidth="1"/>
    <col min="15" max="17" width="16" style="107" customWidth="1"/>
    <col min="18" max="18" width="7.88671875" style="107" customWidth="1"/>
    <col min="19" max="19" width="6.5546875" style="107" customWidth="1"/>
    <col min="20" max="26" width="5.6640625" style="107" customWidth="1"/>
    <col min="27" max="35" width="5.6640625" customWidth="1"/>
  </cols>
  <sheetData>
    <row r="1" spans="1:34" ht="23.4" x14ac:dyDescent="0.3">
      <c r="A1" s="52"/>
      <c r="B1" s="50" t="s">
        <v>93</v>
      </c>
      <c r="C1" s="51"/>
      <c r="D1" s="51"/>
      <c r="E1" s="51"/>
      <c r="F1" s="51"/>
      <c r="G1" s="51"/>
      <c r="H1" s="104"/>
      <c r="I1" s="52"/>
      <c r="J1" s="52"/>
      <c r="K1" s="52"/>
      <c r="L1" s="106"/>
      <c r="M1" s="106"/>
      <c r="N1" s="106"/>
      <c r="O1" s="106"/>
      <c r="P1" s="106"/>
      <c r="Q1" s="106"/>
      <c r="R1" s="106"/>
      <c r="S1" s="106"/>
      <c r="T1" s="106"/>
      <c r="U1" s="106"/>
      <c r="V1" s="106"/>
      <c r="W1" s="106"/>
      <c r="X1" s="106"/>
      <c r="Y1" s="106"/>
      <c r="Z1" s="106"/>
      <c r="AA1" s="52"/>
      <c r="AB1" s="52"/>
      <c r="AC1" s="52"/>
      <c r="AD1" s="52"/>
      <c r="AE1" s="52"/>
      <c r="AF1" s="52"/>
      <c r="AG1" s="52"/>
      <c r="AH1" s="52"/>
    </row>
    <row r="2" spans="1:34" x14ac:dyDescent="0.3">
      <c r="A2" s="45"/>
      <c r="B2" s="45"/>
      <c r="C2" s="6"/>
      <c r="D2" s="6"/>
      <c r="E2" s="6"/>
      <c r="F2" s="6"/>
      <c r="G2" s="6"/>
      <c r="H2" s="53"/>
      <c r="I2" s="45"/>
      <c r="J2" s="45"/>
      <c r="K2" s="45"/>
      <c r="L2" s="64"/>
      <c r="M2" s="64"/>
      <c r="N2" s="64"/>
      <c r="O2" s="64"/>
      <c r="P2" s="64"/>
      <c r="Q2" s="64"/>
      <c r="R2" s="64"/>
      <c r="S2" s="64"/>
      <c r="T2" s="64"/>
      <c r="U2" s="64"/>
      <c r="V2" s="64"/>
      <c r="W2" s="64"/>
      <c r="X2" s="64"/>
      <c r="Y2" s="64"/>
      <c r="Z2" s="64"/>
      <c r="AA2" s="45"/>
      <c r="AB2" s="45"/>
      <c r="AC2" s="45"/>
      <c r="AD2" s="45"/>
      <c r="AE2" s="45"/>
      <c r="AF2" s="45"/>
      <c r="AG2" s="45"/>
      <c r="AH2" s="45"/>
    </row>
    <row r="3" spans="1:34" x14ac:dyDescent="0.3">
      <c r="A3" s="45"/>
      <c r="B3" s="723" t="s">
        <v>100</v>
      </c>
      <c r="C3" s="722" t="s">
        <v>94</v>
      </c>
      <c r="D3" s="722"/>
      <c r="E3" s="722"/>
      <c r="F3" s="722"/>
      <c r="G3" s="6"/>
      <c r="H3" s="721" t="s">
        <v>184</v>
      </c>
      <c r="I3" s="721"/>
      <c r="J3" s="721"/>
      <c r="K3" s="721"/>
      <c r="L3" s="721"/>
      <c r="M3" s="721"/>
      <c r="N3" s="721"/>
      <c r="O3" s="721"/>
      <c r="P3" s="721"/>
      <c r="Q3" s="721"/>
      <c r="R3" s="721"/>
      <c r="S3" s="64"/>
      <c r="T3" s="703" t="s">
        <v>205</v>
      </c>
      <c r="U3" s="704"/>
      <c r="V3" s="704"/>
      <c r="W3" s="705"/>
      <c r="X3" s="703" t="s">
        <v>204</v>
      </c>
      <c r="Y3" s="704"/>
      <c r="Z3" s="704"/>
      <c r="AA3" s="705"/>
      <c r="AB3" s="703" t="s">
        <v>232</v>
      </c>
      <c r="AC3" s="704"/>
      <c r="AD3" s="704"/>
      <c r="AE3" s="705"/>
    </row>
    <row r="4" spans="1:34" ht="15" thickBot="1" x14ac:dyDescent="0.35">
      <c r="A4" s="45"/>
      <c r="B4" s="723"/>
      <c r="C4" s="727" t="s">
        <v>95</v>
      </c>
      <c r="D4" s="727"/>
      <c r="E4" s="727"/>
      <c r="F4" s="727"/>
      <c r="G4" s="6"/>
      <c r="H4" s="721"/>
      <c r="I4" s="721"/>
      <c r="J4" s="721"/>
      <c r="K4" s="721"/>
      <c r="L4" s="721"/>
      <c r="M4" s="721"/>
      <c r="N4" s="721"/>
      <c r="O4" s="721"/>
      <c r="P4" s="721"/>
      <c r="Q4" s="721"/>
      <c r="R4" s="721"/>
      <c r="T4" s="293"/>
      <c r="U4" s="293"/>
      <c r="V4" s="294"/>
      <c r="W4" s="293"/>
      <c r="X4" s="293"/>
      <c r="Y4" s="293"/>
      <c r="Z4" s="295"/>
      <c r="AA4" s="293"/>
      <c r="AB4" s="293"/>
      <c r="AC4" s="293"/>
      <c r="AD4" s="295"/>
      <c r="AE4" s="293"/>
    </row>
    <row r="5" spans="1:34" x14ac:dyDescent="0.3">
      <c r="A5" s="45"/>
      <c r="B5" s="723"/>
      <c r="C5" s="728" t="s">
        <v>96</v>
      </c>
      <c r="D5" s="728"/>
      <c r="E5" s="728"/>
      <c r="F5" s="728"/>
      <c r="G5" s="6"/>
      <c r="H5" s="300"/>
      <c r="I5" s="724" t="s">
        <v>106</v>
      </c>
      <c r="J5" s="725"/>
      <c r="K5" s="726"/>
      <c r="L5" s="724" t="s">
        <v>14</v>
      </c>
      <c r="M5" s="725"/>
      <c r="N5" s="726"/>
      <c r="O5" s="724" t="s">
        <v>231</v>
      </c>
      <c r="P5" s="725"/>
      <c r="Q5" s="726"/>
      <c r="R5"/>
      <c r="T5" s="296"/>
      <c r="U5" s="294"/>
      <c r="V5" s="296"/>
      <c r="W5" s="296"/>
      <c r="X5" s="296"/>
      <c r="Y5" s="295"/>
      <c r="Z5" s="296"/>
      <c r="AA5" s="296"/>
      <c r="AB5" s="296"/>
      <c r="AC5" s="295"/>
      <c r="AD5" s="296"/>
      <c r="AE5" s="296"/>
    </row>
    <row r="6" spans="1:34" ht="29.4" thickBot="1" x14ac:dyDescent="0.35">
      <c r="A6" s="45"/>
      <c r="B6" s="49"/>
      <c r="C6" s="49"/>
      <c r="D6" s="49"/>
      <c r="E6" s="49"/>
      <c r="F6" s="49"/>
      <c r="G6" s="6"/>
      <c r="H6" s="301" t="s">
        <v>206</v>
      </c>
      <c r="I6" s="306" t="s">
        <v>207</v>
      </c>
      <c r="J6" s="307" t="s">
        <v>208</v>
      </c>
      <c r="K6" s="308" t="s">
        <v>209</v>
      </c>
      <c r="L6" s="306" t="s">
        <v>210</v>
      </c>
      <c r="M6" s="307" t="s">
        <v>211</v>
      </c>
      <c r="N6" s="308" t="s">
        <v>212</v>
      </c>
      <c r="O6" s="306" t="s">
        <v>213</v>
      </c>
      <c r="P6" s="307" t="s">
        <v>214</v>
      </c>
      <c r="Q6" s="308" t="s">
        <v>215</v>
      </c>
      <c r="R6"/>
      <c r="T6" s="294"/>
      <c r="U6" s="297"/>
      <c r="V6" s="297"/>
      <c r="W6" s="297"/>
      <c r="X6" s="294"/>
      <c r="Y6" s="297"/>
      <c r="Z6" s="297"/>
      <c r="AA6" s="297"/>
      <c r="AB6" s="294"/>
      <c r="AC6" s="297"/>
      <c r="AD6" s="297"/>
      <c r="AE6" s="297"/>
    </row>
    <row r="7" spans="1:34" ht="18" x14ac:dyDescent="0.35">
      <c r="A7" s="45"/>
      <c r="B7" s="729" t="s">
        <v>105</v>
      </c>
      <c r="C7" s="730"/>
      <c r="D7" s="730"/>
      <c r="E7" s="730"/>
      <c r="F7" s="731"/>
      <c r="G7" s="6"/>
      <c r="H7" s="302" t="s">
        <v>9</v>
      </c>
      <c r="I7" s="309">
        <f>'5b. PRESUMPTIVE REGISTER -  PL'!D14</f>
        <v>0</v>
      </c>
      <c r="J7" s="310">
        <f>'6b. LAB REGISTER - PL'!D11</f>
        <v>0</v>
      </c>
      <c r="K7" s="311">
        <f>'7b. TB TX REGISTER - PL'!E8</f>
        <v>0</v>
      </c>
      <c r="L7" s="309">
        <f>'5b. PRESUMPTIVE REGISTER -  PL'!E14</f>
        <v>0</v>
      </c>
      <c r="M7" s="310">
        <f>'6b. LAB REGISTER - PL'!E11</f>
        <v>0</v>
      </c>
      <c r="N7" s="311">
        <f>'7b. TB TX REGISTER - PL'!F8</f>
        <v>0</v>
      </c>
      <c r="O7" s="309">
        <f>'5b. PRESUMPTIVE REGISTER -  PL'!L14</f>
        <v>0</v>
      </c>
      <c r="P7" s="310">
        <f>'6b. LAB REGISTER - PL'!J11</f>
        <v>0</v>
      </c>
      <c r="Q7" s="311">
        <f>'7b. TB TX REGISTER - PL'!H8</f>
        <v>0</v>
      </c>
      <c r="R7"/>
      <c r="S7" s="302" t="s">
        <v>9</v>
      </c>
      <c r="T7" s="314" t="str">
        <f t="shared" ref="T7:T26" si="0">IF(AND(I7&lt;&gt;0,J7&lt;&gt;0,I7=J7),"Yes","No")</f>
        <v>No</v>
      </c>
      <c r="U7" s="298" t="str">
        <f t="shared" ref="U7:U26" si="1">IF(AND(I7&lt;&gt;0,K7&lt;&gt;0,I7=K7),"Yes","No")</f>
        <v>No</v>
      </c>
      <c r="V7" s="298" t="str">
        <f t="shared" ref="V7:V26" si="2">IF(AND(J7&lt;&gt;0,K7&lt;&gt;0,J7=K7),"Yes","No")</f>
        <v>No</v>
      </c>
      <c r="W7" s="298" t="str">
        <f t="shared" ref="W7:W26" si="3">IF(AND(I7&lt;&gt;0,J7&lt;&gt;0,K7&lt;&gt;0,I7=J7,I7=K7,J7=K7),"Yes","No")</f>
        <v>No</v>
      </c>
      <c r="X7" s="299" t="str">
        <f t="shared" ref="X7:X26" si="4">IF(AND(L7&lt;&gt;0,M7&lt;&gt;0,L7=M7),"Yes","No")</f>
        <v>No</v>
      </c>
      <c r="Y7" s="299" t="str">
        <f t="shared" ref="Y7:Y26" si="5">IF(AND(L7&lt;&gt;0,N7&lt;&gt;0,L7=N7),"Yes","No")</f>
        <v>No</v>
      </c>
      <c r="Z7" s="299" t="str">
        <f t="shared" ref="Z7:Z26" si="6">IF(AND(M7&lt;&gt;0,N7&lt;&gt;0,M7=N7),"Yes","No")</f>
        <v>No</v>
      </c>
      <c r="AA7" s="299" t="str">
        <f t="shared" ref="AA7:AA26" si="7">IF(AND(L7&lt;&gt;0,M7&lt;&gt;0,N7&lt;&gt;0,L7=M7,M7=N7,L7=N7),"Yes","No")</f>
        <v>No</v>
      </c>
      <c r="AB7" s="299" t="str">
        <f t="shared" ref="AB7:AB26" si="8">IF(AND(O7&lt;&gt;0,P7&lt;&gt;0,O7=P7),"Yes","No")</f>
        <v>No</v>
      </c>
      <c r="AC7" s="299" t="str">
        <f t="shared" ref="AC7:AC26" si="9">IF(AND(O7&lt;&gt;0,Q7&lt;&gt;0,O7=Q7),"Yes","No")</f>
        <v>No</v>
      </c>
      <c r="AD7" s="299" t="str">
        <f t="shared" ref="AD7:AD26" si="10">IF(AND(P7&lt;&gt;0,Q7&lt;&gt;0,P7=Q7),"Yes","No")</f>
        <v>No</v>
      </c>
      <c r="AE7" s="299" t="str">
        <f t="shared" ref="AE7:AE26" si="11">IF(AND(O7&lt;&gt;0,P7&lt;&gt;0,Q7&lt;&gt;0,O7=P7,O7=Q7,P7=Q7),"Yes","No")</f>
        <v>No</v>
      </c>
    </row>
    <row r="8" spans="1:34" ht="15" thickBot="1" x14ac:dyDescent="0.35">
      <c r="A8" s="45"/>
      <c r="B8" s="710" t="s">
        <v>216</v>
      </c>
      <c r="C8" s="711"/>
      <c r="D8" s="711"/>
      <c r="E8" s="711"/>
      <c r="F8" s="712"/>
      <c r="G8" s="6"/>
      <c r="H8" s="303" t="s">
        <v>10</v>
      </c>
      <c r="I8" s="309">
        <f>'5b. PRESUMPTIVE REGISTER -  PL'!D15</f>
        <v>0</v>
      </c>
      <c r="J8" s="310">
        <f>'6b. LAB REGISTER - PL'!D12</f>
        <v>0</v>
      </c>
      <c r="K8" s="311">
        <f>'7b. TB TX REGISTER - PL'!E9</f>
        <v>0</v>
      </c>
      <c r="L8" s="309">
        <f>'5b. PRESUMPTIVE REGISTER -  PL'!E15</f>
        <v>0</v>
      </c>
      <c r="M8" s="310">
        <f>'6b. LAB REGISTER - PL'!E12</f>
        <v>0</v>
      </c>
      <c r="N8" s="311">
        <f>'7b. TB TX REGISTER - PL'!F9</f>
        <v>0</v>
      </c>
      <c r="O8" s="309">
        <f>'5b. PRESUMPTIVE REGISTER -  PL'!L15</f>
        <v>0</v>
      </c>
      <c r="P8" s="310">
        <f>'6b. LAB REGISTER - PL'!J12</f>
        <v>0</v>
      </c>
      <c r="Q8" s="311">
        <f>'7b. TB TX REGISTER - PL'!H9</f>
        <v>0</v>
      </c>
      <c r="R8"/>
      <c r="S8" s="303" t="s">
        <v>10</v>
      </c>
      <c r="T8" s="314" t="str">
        <f t="shared" si="0"/>
        <v>No</v>
      </c>
      <c r="U8" s="298" t="str">
        <f t="shared" si="1"/>
        <v>No</v>
      </c>
      <c r="V8" s="298" t="str">
        <f t="shared" si="2"/>
        <v>No</v>
      </c>
      <c r="W8" s="298" t="str">
        <f t="shared" si="3"/>
        <v>No</v>
      </c>
      <c r="X8" s="299" t="str">
        <f t="shared" si="4"/>
        <v>No</v>
      </c>
      <c r="Y8" s="299" t="str">
        <f t="shared" si="5"/>
        <v>No</v>
      </c>
      <c r="Z8" s="299" t="str">
        <f t="shared" si="6"/>
        <v>No</v>
      </c>
      <c r="AA8" s="299" t="str">
        <f t="shared" si="7"/>
        <v>No</v>
      </c>
      <c r="AB8" s="299" t="str">
        <f t="shared" si="8"/>
        <v>No</v>
      </c>
      <c r="AC8" s="299" t="str">
        <f t="shared" si="9"/>
        <v>No</v>
      </c>
      <c r="AD8" s="299" t="str">
        <f t="shared" si="10"/>
        <v>No</v>
      </c>
      <c r="AE8" s="299" t="str">
        <f t="shared" si="11"/>
        <v>No</v>
      </c>
    </row>
    <row r="9" spans="1:34" ht="15" thickTop="1" x14ac:dyDescent="0.3">
      <c r="A9" s="45"/>
      <c r="B9" s="111"/>
      <c r="C9" s="112"/>
      <c r="D9" s="112"/>
      <c r="E9" s="112"/>
      <c r="F9" s="113"/>
      <c r="G9" s="6"/>
      <c r="H9" s="303" t="s">
        <v>11</v>
      </c>
      <c r="I9" s="309">
        <f>'5b. PRESUMPTIVE REGISTER -  PL'!D16</f>
        <v>0</v>
      </c>
      <c r="J9" s="310">
        <f>'6b. LAB REGISTER - PL'!D13</f>
        <v>0</v>
      </c>
      <c r="K9" s="311">
        <f>'7b. TB TX REGISTER - PL'!E10</f>
        <v>0</v>
      </c>
      <c r="L9" s="309">
        <f>'5b. PRESUMPTIVE REGISTER -  PL'!E16</f>
        <v>0</v>
      </c>
      <c r="M9" s="310">
        <f>'6b. LAB REGISTER - PL'!E13</f>
        <v>0</v>
      </c>
      <c r="N9" s="311">
        <f>'7b. TB TX REGISTER - PL'!F10</f>
        <v>0</v>
      </c>
      <c r="O9" s="309">
        <f>'5b. PRESUMPTIVE REGISTER -  PL'!L16</f>
        <v>0</v>
      </c>
      <c r="P9" s="310">
        <f>'6b. LAB REGISTER - PL'!J13</f>
        <v>0</v>
      </c>
      <c r="Q9" s="311">
        <f>'7b. TB TX REGISTER - PL'!H10</f>
        <v>0</v>
      </c>
      <c r="R9"/>
      <c r="S9" s="303" t="s">
        <v>11</v>
      </c>
      <c r="T9" s="314" t="str">
        <f t="shared" si="0"/>
        <v>No</v>
      </c>
      <c r="U9" s="298" t="str">
        <f t="shared" si="1"/>
        <v>No</v>
      </c>
      <c r="V9" s="298" t="str">
        <f t="shared" si="2"/>
        <v>No</v>
      </c>
      <c r="W9" s="298" t="str">
        <f t="shared" si="3"/>
        <v>No</v>
      </c>
      <c r="X9" s="299" t="str">
        <f t="shared" si="4"/>
        <v>No</v>
      </c>
      <c r="Y9" s="299" t="str">
        <f t="shared" si="5"/>
        <v>No</v>
      </c>
      <c r="Z9" s="299" t="str">
        <f t="shared" si="6"/>
        <v>No</v>
      </c>
      <c r="AA9" s="299" t="str">
        <f t="shared" si="7"/>
        <v>No</v>
      </c>
      <c r="AB9" s="299" t="str">
        <f t="shared" si="8"/>
        <v>No</v>
      </c>
      <c r="AC9" s="299" t="str">
        <f t="shared" si="9"/>
        <v>No</v>
      </c>
      <c r="AD9" s="299" t="str">
        <f t="shared" si="10"/>
        <v>No</v>
      </c>
      <c r="AE9" s="299" t="str">
        <f t="shared" si="11"/>
        <v>No</v>
      </c>
    </row>
    <row r="10" spans="1:34" x14ac:dyDescent="0.3">
      <c r="A10" s="6"/>
      <c r="B10" s="715" t="s">
        <v>102</v>
      </c>
      <c r="C10" s="716"/>
      <c r="D10" s="716"/>
      <c r="E10" s="115"/>
      <c r="F10" s="117"/>
      <c r="G10" s="45"/>
      <c r="H10" s="303" t="s">
        <v>12</v>
      </c>
      <c r="I10" s="309">
        <f>'5b. PRESUMPTIVE REGISTER -  PL'!D17</f>
        <v>0</v>
      </c>
      <c r="J10" s="310">
        <f>'6b. LAB REGISTER - PL'!D14</f>
        <v>0</v>
      </c>
      <c r="K10" s="311">
        <f>'7b. TB TX REGISTER - PL'!E11</f>
        <v>0</v>
      </c>
      <c r="L10" s="309">
        <f>'5b. PRESUMPTIVE REGISTER -  PL'!E17</f>
        <v>0</v>
      </c>
      <c r="M10" s="310">
        <f>'6b. LAB REGISTER - PL'!E14</f>
        <v>0</v>
      </c>
      <c r="N10" s="311">
        <f>'7b. TB TX REGISTER - PL'!F11</f>
        <v>0</v>
      </c>
      <c r="O10" s="309">
        <f>'5b. PRESUMPTIVE REGISTER -  PL'!L17</f>
        <v>0</v>
      </c>
      <c r="P10" s="310">
        <f>'6b. LAB REGISTER - PL'!J14</f>
        <v>0</v>
      </c>
      <c r="Q10" s="311">
        <f>'7b. TB TX REGISTER - PL'!H11</f>
        <v>0</v>
      </c>
      <c r="R10"/>
      <c r="S10" s="303" t="s">
        <v>12</v>
      </c>
      <c r="T10" s="314" t="str">
        <f t="shared" si="0"/>
        <v>No</v>
      </c>
      <c r="U10" s="298" t="str">
        <f t="shared" si="1"/>
        <v>No</v>
      </c>
      <c r="V10" s="298" t="str">
        <f t="shared" si="2"/>
        <v>No</v>
      </c>
      <c r="W10" s="298" t="str">
        <f t="shared" si="3"/>
        <v>No</v>
      </c>
      <c r="X10" s="299" t="str">
        <f t="shared" si="4"/>
        <v>No</v>
      </c>
      <c r="Y10" s="299" t="str">
        <f t="shared" si="5"/>
        <v>No</v>
      </c>
      <c r="Z10" s="299" t="str">
        <f t="shared" si="6"/>
        <v>No</v>
      </c>
      <c r="AA10" s="299" t="str">
        <f t="shared" si="7"/>
        <v>No</v>
      </c>
      <c r="AB10" s="299" t="str">
        <f t="shared" si="8"/>
        <v>No</v>
      </c>
      <c r="AC10" s="299" t="str">
        <f t="shared" si="9"/>
        <v>No</v>
      </c>
      <c r="AD10" s="299" t="str">
        <f t="shared" si="10"/>
        <v>No</v>
      </c>
      <c r="AE10" s="299" t="str">
        <f t="shared" si="11"/>
        <v>No</v>
      </c>
    </row>
    <row r="11" spans="1:34" x14ac:dyDescent="0.3">
      <c r="A11" s="45"/>
      <c r="B11" s="105" t="s">
        <v>97</v>
      </c>
      <c r="C11" s="108"/>
      <c r="D11" s="108"/>
      <c r="E11" s="706" t="str">
        <f>IFERROR((COUNTIFS(T7:T26,"Yes"))/(COUNTIFS('6b. LAB REGISTER - PL'!C11:C30,"Yes")), "NA")</f>
        <v>NA</v>
      </c>
      <c r="F11" s="707"/>
      <c r="G11" s="6"/>
      <c r="H11" s="303" t="s">
        <v>32</v>
      </c>
      <c r="I11" s="309">
        <f>'5b. PRESUMPTIVE REGISTER -  PL'!D18</f>
        <v>0</v>
      </c>
      <c r="J11" s="310">
        <f>'6b. LAB REGISTER - PL'!D15</f>
        <v>0</v>
      </c>
      <c r="K11" s="311">
        <f>'7b. TB TX REGISTER - PL'!E12</f>
        <v>0</v>
      </c>
      <c r="L11" s="309">
        <f>'5b. PRESUMPTIVE REGISTER -  PL'!E18</f>
        <v>0</v>
      </c>
      <c r="M11" s="310">
        <f>'6b. LAB REGISTER - PL'!E15</f>
        <v>0</v>
      </c>
      <c r="N11" s="311">
        <f>'7b. TB TX REGISTER - PL'!F12</f>
        <v>0</v>
      </c>
      <c r="O11" s="309">
        <f>'5b. PRESUMPTIVE REGISTER -  PL'!L18</f>
        <v>0</v>
      </c>
      <c r="P11" s="310">
        <f>'6b. LAB REGISTER - PL'!J15</f>
        <v>0</v>
      </c>
      <c r="Q11" s="311">
        <f>'7b. TB TX REGISTER - PL'!H12</f>
        <v>0</v>
      </c>
      <c r="R11"/>
      <c r="S11" s="303" t="s">
        <v>32</v>
      </c>
      <c r="T11" s="314" t="str">
        <f t="shared" si="0"/>
        <v>No</v>
      </c>
      <c r="U11" s="298" t="str">
        <f t="shared" si="1"/>
        <v>No</v>
      </c>
      <c r="V11" s="298" t="str">
        <f t="shared" si="2"/>
        <v>No</v>
      </c>
      <c r="W11" s="298" t="str">
        <f t="shared" si="3"/>
        <v>No</v>
      </c>
      <c r="X11" s="299" t="str">
        <f t="shared" si="4"/>
        <v>No</v>
      </c>
      <c r="Y11" s="299" t="str">
        <f t="shared" si="5"/>
        <v>No</v>
      </c>
      <c r="Z11" s="299" t="str">
        <f t="shared" si="6"/>
        <v>No</v>
      </c>
      <c r="AA11" s="299" t="str">
        <f t="shared" si="7"/>
        <v>No</v>
      </c>
      <c r="AB11" s="299" t="str">
        <f t="shared" si="8"/>
        <v>No</v>
      </c>
      <c r="AC11" s="299" t="str">
        <f t="shared" si="9"/>
        <v>No</v>
      </c>
      <c r="AD11" s="299" t="str">
        <f t="shared" si="10"/>
        <v>No</v>
      </c>
      <c r="AE11" s="299" t="str">
        <f t="shared" si="11"/>
        <v>No</v>
      </c>
    </row>
    <row r="12" spans="1:34" x14ac:dyDescent="0.3">
      <c r="A12" s="45"/>
      <c r="B12" s="105" t="s">
        <v>98</v>
      </c>
      <c r="C12" s="108"/>
      <c r="D12" s="108"/>
      <c r="E12" s="706" t="str">
        <f>IFERROR(COUNTIFS(X7:X26,"Yes")/(COUNTIFS('6b. LAB REGISTER - PL'!C11:C30,"Yes")), "NA")</f>
        <v>NA</v>
      </c>
      <c r="F12" s="707"/>
      <c r="G12" s="6"/>
      <c r="H12" s="303" t="s">
        <v>33</v>
      </c>
      <c r="I12" s="309">
        <f>'5b. PRESUMPTIVE REGISTER -  PL'!D19</f>
        <v>0</v>
      </c>
      <c r="J12" s="310">
        <f>'6b. LAB REGISTER - PL'!D16</f>
        <v>0</v>
      </c>
      <c r="K12" s="311">
        <f>'7b. TB TX REGISTER - PL'!E13</f>
        <v>0</v>
      </c>
      <c r="L12" s="309">
        <f>'5b. PRESUMPTIVE REGISTER -  PL'!E19</f>
        <v>0</v>
      </c>
      <c r="M12" s="310">
        <f>'6b. LAB REGISTER - PL'!E16</f>
        <v>0</v>
      </c>
      <c r="N12" s="311">
        <f>'7b. TB TX REGISTER - PL'!F13</f>
        <v>0</v>
      </c>
      <c r="O12" s="309">
        <f>'5b. PRESUMPTIVE REGISTER -  PL'!L19</f>
        <v>0</v>
      </c>
      <c r="P12" s="310">
        <f>'6b. LAB REGISTER - PL'!J16</f>
        <v>0</v>
      </c>
      <c r="Q12" s="311">
        <f>'7b. TB TX REGISTER - PL'!H13</f>
        <v>0</v>
      </c>
      <c r="R12"/>
      <c r="S12" s="303" t="s">
        <v>33</v>
      </c>
      <c r="T12" s="314" t="str">
        <f t="shared" si="0"/>
        <v>No</v>
      </c>
      <c r="U12" s="298" t="str">
        <f t="shared" si="1"/>
        <v>No</v>
      </c>
      <c r="V12" s="298" t="str">
        <f t="shared" si="2"/>
        <v>No</v>
      </c>
      <c r="W12" s="298" t="str">
        <f t="shared" si="3"/>
        <v>No</v>
      </c>
      <c r="X12" s="299" t="str">
        <f t="shared" si="4"/>
        <v>No</v>
      </c>
      <c r="Y12" s="299" t="str">
        <f t="shared" si="5"/>
        <v>No</v>
      </c>
      <c r="Z12" s="299" t="str">
        <f t="shared" si="6"/>
        <v>No</v>
      </c>
      <c r="AA12" s="299" t="str">
        <f t="shared" si="7"/>
        <v>No</v>
      </c>
      <c r="AB12" s="299" t="str">
        <f t="shared" si="8"/>
        <v>No</v>
      </c>
      <c r="AC12" s="299" t="str">
        <f t="shared" si="9"/>
        <v>No</v>
      </c>
      <c r="AD12" s="299" t="str">
        <f t="shared" si="10"/>
        <v>No</v>
      </c>
      <c r="AE12" s="299" t="str">
        <f t="shared" si="11"/>
        <v>No</v>
      </c>
    </row>
    <row r="13" spans="1:34" x14ac:dyDescent="0.3">
      <c r="A13" s="45"/>
      <c r="B13" s="356" t="s">
        <v>226</v>
      </c>
      <c r="C13" s="357"/>
      <c r="D13" s="357"/>
      <c r="E13" s="713" t="str">
        <f>IFERROR(COUNTIFS(AB7:AB26,"Yes")/(COUNTIFS('6b. LAB REGISTER - PL'!C11:C30,"Yes")), "NA")</f>
        <v>NA</v>
      </c>
      <c r="F13" s="714"/>
      <c r="G13" s="6"/>
      <c r="H13" s="303" t="s">
        <v>34</v>
      </c>
      <c r="I13" s="309">
        <f>'5b. PRESUMPTIVE REGISTER -  PL'!D20</f>
        <v>0</v>
      </c>
      <c r="J13" s="310">
        <f>'6b. LAB REGISTER - PL'!D17</f>
        <v>0</v>
      </c>
      <c r="K13" s="311">
        <f>'7b. TB TX REGISTER - PL'!E14</f>
        <v>0</v>
      </c>
      <c r="L13" s="309">
        <f>'5b. PRESUMPTIVE REGISTER -  PL'!E20</f>
        <v>0</v>
      </c>
      <c r="M13" s="310">
        <f>'6b. LAB REGISTER - PL'!E17</f>
        <v>0</v>
      </c>
      <c r="N13" s="311">
        <f>'7b. TB TX REGISTER - PL'!F14</f>
        <v>0</v>
      </c>
      <c r="O13" s="309">
        <f>'5b. PRESUMPTIVE REGISTER -  PL'!L20</f>
        <v>0</v>
      </c>
      <c r="P13" s="310">
        <f>'6b. LAB REGISTER - PL'!J17</f>
        <v>0</v>
      </c>
      <c r="Q13" s="311">
        <f>'7b. TB TX REGISTER - PL'!H14</f>
        <v>0</v>
      </c>
      <c r="R13"/>
      <c r="S13" s="303" t="s">
        <v>34</v>
      </c>
      <c r="T13" s="314" t="str">
        <f t="shared" si="0"/>
        <v>No</v>
      </c>
      <c r="U13" s="298" t="str">
        <f t="shared" si="1"/>
        <v>No</v>
      </c>
      <c r="V13" s="298" t="str">
        <f t="shared" si="2"/>
        <v>No</v>
      </c>
      <c r="W13" s="298" t="str">
        <f t="shared" si="3"/>
        <v>No</v>
      </c>
      <c r="X13" s="299" t="str">
        <f t="shared" si="4"/>
        <v>No</v>
      </c>
      <c r="Y13" s="299" t="str">
        <f t="shared" si="5"/>
        <v>No</v>
      </c>
      <c r="Z13" s="299" t="str">
        <f t="shared" si="6"/>
        <v>No</v>
      </c>
      <c r="AA13" s="299" t="str">
        <f t="shared" si="7"/>
        <v>No</v>
      </c>
      <c r="AB13" s="299" t="str">
        <f t="shared" si="8"/>
        <v>No</v>
      </c>
      <c r="AC13" s="299" t="str">
        <f t="shared" si="9"/>
        <v>No</v>
      </c>
      <c r="AD13" s="299" t="str">
        <f t="shared" si="10"/>
        <v>No</v>
      </c>
      <c r="AE13" s="299" t="str">
        <f t="shared" si="11"/>
        <v>No</v>
      </c>
    </row>
    <row r="14" spans="1:34" x14ac:dyDescent="0.3">
      <c r="A14" s="45"/>
      <c r="B14" s="732" t="s">
        <v>101</v>
      </c>
      <c r="C14" s="733"/>
      <c r="D14" s="733"/>
      <c r="E14" s="115"/>
      <c r="F14" s="118"/>
      <c r="G14" s="6"/>
      <c r="H14" s="303" t="s">
        <v>35</v>
      </c>
      <c r="I14" s="309">
        <f>'5b. PRESUMPTIVE REGISTER -  PL'!D21</f>
        <v>0</v>
      </c>
      <c r="J14" s="310">
        <f>'6b. LAB REGISTER - PL'!D18</f>
        <v>0</v>
      </c>
      <c r="K14" s="311">
        <f>'7b. TB TX REGISTER - PL'!E15</f>
        <v>0</v>
      </c>
      <c r="L14" s="309">
        <f>'5b. PRESUMPTIVE REGISTER -  PL'!E21</f>
        <v>0</v>
      </c>
      <c r="M14" s="310">
        <f>'6b. LAB REGISTER - PL'!E18</f>
        <v>0</v>
      </c>
      <c r="N14" s="311">
        <f>'7b. TB TX REGISTER - PL'!F15</f>
        <v>0</v>
      </c>
      <c r="O14" s="309">
        <f>'5b. PRESUMPTIVE REGISTER -  PL'!L21</f>
        <v>0</v>
      </c>
      <c r="P14" s="310">
        <f>'6b. LAB REGISTER - PL'!J18</f>
        <v>0</v>
      </c>
      <c r="Q14" s="311">
        <f>'7b. TB TX REGISTER - PL'!H15</f>
        <v>0</v>
      </c>
      <c r="R14"/>
      <c r="S14" s="303" t="s">
        <v>35</v>
      </c>
      <c r="T14" s="314" t="str">
        <f t="shared" si="0"/>
        <v>No</v>
      </c>
      <c r="U14" s="298" t="str">
        <f t="shared" si="1"/>
        <v>No</v>
      </c>
      <c r="V14" s="298" t="str">
        <f t="shared" si="2"/>
        <v>No</v>
      </c>
      <c r="W14" s="298" t="str">
        <f t="shared" si="3"/>
        <v>No</v>
      </c>
      <c r="X14" s="299" t="str">
        <f t="shared" si="4"/>
        <v>No</v>
      </c>
      <c r="Y14" s="299" t="str">
        <f t="shared" si="5"/>
        <v>No</v>
      </c>
      <c r="Z14" s="299" t="str">
        <f t="shared" si="6"/>
        <v>No</v>
      </c>
      <c r="AA14" s="299" t="str">
        <f t="shared" si="7"/>
        <v>No</v>
      </c>
      <c r="AB14" s="299" t="str">
        <f t="shared" si="8"/>
        <v>No</v>
      </c>
      <c r="AC14" s="299" t="str">
        <f t="shared" si="9"/>
        <v>No</v>
      </c>
      <c r="AD14" s="299" t="str">
        <f t="shared" si="10"/>
        <v>No</v>
      </c>
      <c r="AE14" s="299" t="str">
        <f t="shared" si="11"/>
        <v>No</v>
      </c>
    </row>
    <row r="15" spans="1:34" ht="28.8" x14ac:dyDescent="0.3">
      <c r="A15" s="45"/>
      <c r="B15" s="105" t="s">
        <v>97</v>
      </c>
      <c r="C15" s="108"/>
      <c r="D15" s="108"/>
      <c r="E15" s="708" t="str">
        <f>IFERROR(COUNTIFS(U7:U26,"Yes")/(COUNTIFS('7b. TB TX REGISTER - PL'!C8:C27,"Yes")), "NA")</f>
        <v>NA</v>
      </c>
      <c r="F15" s="709"/>
      <c r="G15" s="6"/>
      <c r="H15" s="303" t="s">
        <v>36</v>
      </c>
      <c r="I15" s="309">
        <f>'5b. PRESUMPTIVE REGISTER -  PL'!D22</f>
        <v>0</v>
      </c>
      <c r="J15" s="310">
        <f>'6b. LAB REGISTER - PL'!D19</f>
        <v>0</v>
      </c>
      <c r="K15" s="311">
        <f>'7b. TB TX REGISTER - PL'!E16</f>
        <v>0</v>
      </c>
      <c r="L15" s="309">
        <f>'5b. PRESUMPTIVE REGISTER -  PL'!E22</f>
        <v>0</v>
      </c>
      <c r="M15" s="310">
        <f>'6b. LAB REGISTER - PL'!E19</f>
        <v>0</v>
      </c>
      <c r="N15" s="311">
        <f>'7b. TB TX REGISTER - PL'!F16</f>
        <v>0</v>
      </c>
      <c r="O15" s="309">
        <f>'5b. PRESUMPTIVE REGISTER -  PL'!L22</f>
        <v>0</v>
      </c>
      <c r="P15" s="310">
        <f>'6b. LAB REGISTER - PL'!J19</f>
        <v>0</v>
      </c>
      <c r="Q15" s="311">
        <f>'7b. TB TX REGISTER - PL'!H16</f>
        <v>0</v>
      </c>
      <c r="R15"/>
      <c r="S15" s="303" t="s">
        <v>36</v>
      </c>
      <c r="T15" s="314" t="str">
        <f t="shared" si="0"/>
        <v>No</v>
      </c>
      <c r="U15" s="298" t="str">
        <f t="shared" si="1"/>
        <v>No</v>
      </c>
      <c r="V15" s="298" t="str">
        <f t="shared" si="2"/>
        <v>No</v>
      </c>
      <c r="W15" s="298" t="str">
        <f t="shared" si="3"/>
        <v>No</v>
      </c>
      <c r="X15" s="299" t="str">
        <f t="shared" si="4"/>
        <v>No</v>
      </c>
      <c r="Y15" s="299" t="str">
        <f t="shared" si="5"/>
        <v>No</v>
      </c>
      <c r="Z15" s="299" t="str">
        <f t="shared" si="6"/>
        <v>No</v>
      </c>
      <c r="AA15" s="299" t="str">
        <f t="shared" si="7"/>
        <v>No</v>
      </c>
      <c r="AB15" s="299" t="str">
        <f t="shared" si="8"/>
        <v>No</v>
      </c>
      <c r="AC15" s="299" t="str">
        <f t="shared" si="9"/>
        <v>No</v>
      </c>
      <c r="AD15" s="299" t="str">
        <f t="shared" si="10"/>
        <v>No</v>
      </c>
      <c r="AE15" s="299" t="str">
        <f t="shared" si="11"/>
        <v>No</v>
      </c>
    </row>
    <row r="16" spans="1:34" x14ac:dyDescent="0.3">
      <c r="A16" s="45"/>
      <c r="B16" s="105" t="s">
        <v>98</v>
      </c>
      <c r="C16" s="108"/>
      <c r="D16" s="108"/>
      <c r="E16" s="706" t="str">
        <f>IFERROR(COUNTIFS(Y7:Y26,"Yes")/(COUNTIFS('7b. TB TX REGISTER - PL'!C8:C27,"Yes")), "NA")</f>
        <v>NA</v>
      </c>
      <c r="F16" s="707"/>
      <c r="G16" s="6"/>
      <c r="H16" s="303" t="s">
        <v>37</v>
      </c>
      <c r="I16" s="309">
        <f>'5b. PRESUMPTIVE REGISTER -  PL'!D23</f>
        <v>0</v>
      </c>
      <c r="J16" s="310">
        <f>'6b. LAB REGISTER - PL'!D20</f>
        <v>0</v>
      </c>
      <c r="K16" s="311">
        <f>'7b. TB TX REGISTER - PL'!E17</f>
        <v>0</v>
      </c>
      <c r="L16" s="309">
        <f>'5b. PRESUMPTIVE REGISTER -  PL'!E23</f>
        <v>0</v>
      </c>
      <c r="M16" s="310">
        <f>'6b. LAB REGISTER - PL'!E20</f>
        <v>0</v>
      </c>
      <c r="N16" s="311">
        <f>'7b. TB TX REGISTER - PL'!F17</f>
        <v>0</v>
      </c>
      <c r="O16" s="309">
        <f>'5b. PRESUMPTIVE REGISTER -  PL'!L23</f>
        <v>0</v>
      </c>
      <c r="P16" s="310">
        <f>'6b. LAB REGISTER - PL'!J20</f>
        <v>0</v>
      </c>
      <c r="Q16" s="311">
        <f>'7b. TB TX REGISTER - PL'!H17</f>
        <v>0</v>
      </c>
      <c r="R16"/>
      <c r="S16" s="303" t="s">
        <v>37</v>
      </c>
      <c r="T16" s="314" t="str">
        <f t="shared" si="0"/>
        <v>No</v>
      </c>
      <c r="U16" s="298" t="str">
        <f t="shared" si="1"/>
        <v>No</v>
      </c>
      <c r="V16" s="298" t="str">
        <f t="shared" si="2"/>
        <v>No</v>
      </c>
      <c r="W16" s="298" t="str">
        <f t="shared" si="3"/>
        <v>No</v>
      </c>
      <c r="X16" s="299" t="str">
        <f t="shared" si="4"/>
        <v>No</v>
      </c>
      <c r="Y16" s="299" t="str">
        <f t="shared" si="5"/>
        <v>No</v>
      </c>
      <c r="Z16" s="299" t="str">
        <f t="shared" si="6"/>
        <v>No</v>
      </c>
      <c r="AA16" s="299" t="str">
        <f t="shared" si="7"/>
        <v>No</v>
      </c>
      <c r="AB16" s="299" t="str">
        <f t="shared" si="8"/>
        <v>No</v>
      </c>
      <c r="AC16" s="299" t="str">
        <f t="shared" si="9"/>
        <v>No</v>
      </c>
      <c r="AD16" s="299" t="str">
        <f t="shared" si="10"/>
        <v>No</v>
      </c>
      <c r="AE16" s="299" t="str">
        <f t="shared" si="11"/>
        <v>No</v>
      </c>
    </row>
    <row r="17" spans="1:34" x14ac:dyDescent="0.3">
      <c r="A17" s="45"/>
      <c r="B17" s="356" t="s">
        <v>226</v>
      </c>
      <c r="C17" s="357"/>
      <c r="D17" s="357"/>
      <c r="E17" s="713" t="str">
        <f>IFERROR(COUNTIFS(AC7:AC26,"Yes")/(COUNTIFS('7b. TB TX REGISTER - PL'!C8:C27,"Yes")), "NA")</f>
        <v>NA</v>
      </c>
      <c r="F17" s="714"/>
      <c r="G17" s="6"/>
      <c r="H17" s="303" t="s">
        <v>38</v>
      </c>
      <c r="I17" s="309">
        <f>'5b. PRESUMPTIVE REGISTER -  PL'!D24</f>
        <v>0</v>
      </c>
      <c r="J17" s="310">
        <f>'6b. LAB REGISTER - PL'!D21</f>
        <v>0</v>
      </c>
      <c r="K17" s="311">
        <f>'7b. TB TX REGISTER - PL'!E18</f>
        <v>0</v>
      </c>
      <c r="L17" s="309">
        <f>'5b. PRESUMPTIVE REGISTER -  PL'!E24</f>
        <v>0</v>
      </c>
      <c r="M17" s="310">
        <f>'6b. LAB REGISTER - PL'!E21</f>
        <v>0</v>
      </c>
      <c r="N17" s="311">
        <f>'7b. TB TX REGISTER - PL'!F18</f>
        <v>0</v>
      </c>
      <c r="O17" s="309">
        <f>'5b. PRESUMPTIVE REGISTER -  PL'!L24</f>
        <v>0</v>
      </c>
      <c r="P17" s="310">
        <f>'6b. LAB REGISTER - PL'!J21</f>
        <v>0</v>
      </c>
      <c r="Q17" s="311">
        <f>'7b. TB TX REGISTER - PL'!H18</f>
        <v>0</v>
      </c>
      <c r="R17"/>
      <c r="S17" s="303" t="s">
        <v>38</v>
      </c>
      <c r="T17" s="314" t="str">
        <f t="shared" si="0"/>
        <v>No</v>
      </c>
      <c r="U17" s="298" t="str">
        <f t="shared" si="1"/>
        <v>No</v>
      </c>
      <c r="V17" s="298" t="str">
        <f t="shared" si="2"/>
        <v>No</v>
      </c>
      <c r="W17" s="298" t="str">
        <f t="shared" si="3"/>
        <v>No</v>
      </c>
      <c r="X17" s="299" t="str">
        <f t="shared" si="4"/>
        <v>No</v>
      </c>
      <c r="Y17" s="299" t="str">
        <f t="shared" si="5"/>
        <v>No</v>
      </c>
      <c r="Z17" s="299" t="str">
        <f t="shared" si="6"/>
        <v>No</v>
      </c>
      <c r="AA17" s="299" t="str">
        <f t="shared" si="7"/>
        <v>No</v>
      </c>
      <c r="AB17" s="299" t="str">
        <f t="shared" si="8"/>
        <v>No</v>
      </c>
      <c r="AC17" s="299" t="str">
        <f t="shared" si="9"/>
        <v>No</v>
      </c>
      <c r="AD17" s="299" t="str">
        <f t="shared" si="10"/>
        <v>No</v>
      </c>
      <c r="AE17" s="299" t="str">
        <f t="shared" si="11"/>
        <v>No</v>
      </c>
    </row>
    <row r="18" spans="1:34" x14ac:dyDescent="0.3">
      <c r="A18" s="45"/>
      <c r="B18" s="715" t="s">
        <v>103</v>
      </c>
      <c r="C18" s="716"/>
      <c r="D18" s="716"/>
      <c r="E18" s="116"/>
      <c r="F18" s="118"/>
      <c r="G18" s="6"/>
      <c r="H18" s="303" t="s">
        <v>39</v>
      </c>
      <c r="I18" s="309">
        <f>'5b. PRESUMPTIVE REGISTER -  PL'!D25</f>
        <v>0</v>
      </c>
      <c r="J18" s="310">
        <f>'6b. LAB REGISTER - PL'!D22</f>
        <v>0</v>
      </c>
      <c r="K18" s="311">
        <f>'7b. TB TX REGISTER - PL'!E19</f>
        <v>0</v>
      </c>
      <c r="L18" s="309">
        <f>'5b. PRESUMPTIVE REGISTER -  PL'!E25</f>
        <v>0</v>
      </c>
      <c r="M18" s="310">
        <f>'6b. LAB REGISTER - PL'!E22</f>
        <v>0</v>
      </c>
      <c r="N18" s="311">
        <f>'7b. TB TX REGISTER - PL'!F19</f>
        <v>0</v>
      </c>
      <c r="O18" s="309">
        <f>'5b. PRESUMPTIVE REGISTER -  PL'!L25</f>
        <v>0</v>
      </c>
      <c r="P18" s="310">
        <f>'6b. LAB REGISTER - PL'!J22</f>
        <v>0</v>
      </c>
      <c r="Q18" s="311">
        <f>'7b. TB TX REGISTER - PL'!H19</f>
        <v>0</v>
      </c>
      <c r="R18"/>
      <c r="S18" s="303" t="s">
        <v>39</v>
      </c>
      <c r="T18" s="314" t="str">
        <f t="shared" si="0"/>
        <v>No</v>
      </c>
      <c r="U18" s="298" t="str">
        <f t="shared" si="1"/>
        <v>No</v>
      </c>
      <c r="V18" s="298" t="str">
        <f t="shared" si="2"/>
        <v>No</v>
      </c>
      <c r="W18" s="298" t="str">
        <f t="shared" si="3"/>
        <v>No</v>
      </c>
      <c r="X18" s="299" t="str">
        <f t="shared" si="4"/>
        <v>No</v>
      </c>
      <c r="Y18" s="299" t="str">
        <f t="shared" si="5"/>
        <v>No</v>
      </c>
      <c r="Z18" s="299" t="str">
        <f t="shared" si="6"/>
        <v>No</v>
      </c>
      <c r="AA18" s="299" t="str">
        <f t="shared" si="7"/>
        <v>No</v>
      </c>
      <c r="AB18" s="299" t="str">
        <f t="shared" si="8"/>
        <v>No</v>
      </c>
      <c r="AC18" s="299" t="str">
        <f t="shared" si="9"/>
        <v>No</v>
      </c>
      <c r="AD18" s="299" t="str">
        <f t="shared" si="10"/>
        <v>No</v>
      </c>
      <c r="AE18" s="299" t="str">
        <f t="shared" si="11"/>
        <v>No</v>
      </c>
    </row>
    <row r="19" spans="1:34" x14ac:dyDescent="0.3">
      <c r="A19" s="45"/>
      <c r="B19" s="105" t="s">
        <v>99</v>
      </c>
      <c r="C19" s="108"/>
      <c r="D19" s="360"/>
      <c r="E19" s="708" t="str">
        <f>IFERROR(COUNTIFS(V7:V26,"Yes")/(COUNTIFS('7b. TB TX REGISTER - PL'!C8:C27,"Yes")), "NA")</f>
        <v>NA</v>
      </c>
      <c r="F19" s="709"/>
      <c r="G19" s="6"/>
      <c r="H19" s="303" t="s">
        <v>40</v>
      </c>
      <c r="I19" s="309">
        <f>'5b. PRESUMPTIVE REGISTER -  PL'!D26</f>
        <v>0</v>
      </c>
      <c r="J19" s="310">
        <f>'6b. LAB REGISTER - PL'!D23</f>
        <v>0</v>
      </c>
      <c r="K19" s="311">
        <f>'7b. TB TX REGISTER - PL'!E20</f>
        <v>0</v>
      </c>
      <c r="L19" s="309">
        <f>'5b. PRESUMPTIVE REGISTER -  PL'!E26</f>
        <v>0</v>
      </c>
      <c r="M19" s="310">
        <f>'6b. LAB REGISTER - PL'!E23</f>
        <v>0</v>
      </c>
      <c r="N19" s="311">
        <f>'7b. TB TX REGISTER - PL'!F20</f>
        <v>0</v>
      </c>
      <c r="O19" s="309">
        <f>'5b. PRESUMPTIVE REGISTER -  PL'!L26</f>
        <v>0</v>
      </c>
      <c r="P19" s="310">
        <f>'6b. LAB REGISTER - PL'!J23</f>
        <v>0</v>
      </c>
      <c r="Q19" s="311">
        <f>'7b. TB TX REGISTER - PL'!H20</f>
        <v>0</v>
      </c>
      <c r="R19"/>
      <c r="S19" s="303" t="s">
        <v>40</v>
      </c>
      <c r="T19" s="314" t="str">
        <f t="shared" si="0"/>
        <v>No</v>
      </c>
      <c r="U19" s="298" t="str">
        <f t="shared" si="1"/>
        <v>No</v>
      </c>
      <c r="V19" s="298" t="str">
        <f t="shared" si="2"/>
        <v>No</v>
      </c>
      <c r="W19" s="298" t="str">
        <f t="shared" si="3"/>
        <v>No</v>
      </c>
      <c r="X19" s="299" t="str">
        <f t="shared" si="4"/>
        <v>No</v>
      </c>
      <c r="Y19" s="299" t="str">
        <f t="shared" si="5"/>
        <v>No</v>
      </c>
      <c r="Z19" s="299" t="str">
        <f t="shared" si="6"/>
        <v>No</v>
      </c>
      <c r="AA19" s="299" t="str">
        <f t="shared" si="7"/>
        <v>No</v>
      </c>
      <c r="AB19" s="299" t="str">
        <f t="shared" si="8"/>
        <v>No</v>
      </c>
      <c r="AC19" s="299" t="str">
        <f t="shared" si="9"/>
        <v>No</v>
      </c>
      <c r="AD19" s="299" t="str">
        <f t="shared" si="10"/>
        <v>No</v>
      </c>
      <c r="AE19" s="299" t="str">
        <f t="shared" si="11"/>
        <v>No</v>
      </c>
    </row>
    <row r="20" spans="1:34" ht="28.8" x14ac:dyDescent="0.3">
      <c r="A20" s="45"/>
      <c r="B20" s="105" t="s">
        <v>98</v>
      </c>
      <c r="C20" s="108"/>
      <c r="D20" s="360"/>
      <c r="E20" s="706" t="str">
        <f>IFERROR(COUNTIFS(Z7:Z26,"Yes")/(COUNTIFS('7b. TB TX REGISTER - PL'!C8:C27,"Yes")), "NA")</f>
        <v>NA</v>
      </c>
      <c r="F20" s="707"/>
      <c r="G20" s="6"/>
      <c r="H20" s="303" t="s">
        <v>41</v>
      </c>
      <c r="I20" s="309">
        <f>'5b. PRESUMPTIVE REGISTER -  PL'!D27</f>
        <v>0</v>
      </c>
      <c r="J20" s="310">
        <f>'6b. LAB REGISTER - PL'!D24</f>
        <v>0</v>
      </c>
      <c r="K20" s="311">
        <f>'7b. TB TX REGISTER - PL'!E21</f>
        <v>0</v>
      </c>
      <c r="L20" s="309">
        <f>'5b. PRESUMPTIVE REGISTER -  PL'!E27</f>
        <v>0</v>
      </c>
      <c r="M20" s="310">
        <f>'6b. LAB REGISTER - PL'!E24</f>
        <v>0</v>
      </c>
      <c r="N20" s="311">
        <f>'7b. TB TX REGISTER - PL'!F21</f>
        <v>0</v>
      </c>
      <c r="O20" s="309">
        <f>'5b. PRESUMPTIVE REGISTER -  PL'!L27</f>
        <v>0</v>
      </c>
      <c r="P20" s="310">
        <f>'6b. LAB REGISTER - PL'!J24</f>
        <v>0</v>
      </c>
      <c r="Q20" s="311">
        <f>'7b. TB TX REGISTER - PL'!H21</f>
        <v>0</v>
      </c>
      <c r="R20"/>
      <c r="S20" s="303" t="s">
        <v>41</v>
      </c>
      <c r="T20" s="314" t="str">
        <f t="shared" si="0"/>
        <v>No</v>
      </c>
      <c r="U20" s="298" t="str">
        <f t="shared" si="1"/>
        <v>No</v>
      </c>
      <c r="V20" s="298" t="str">
        <f t="shared" si="2"/>
        <v>No</v>
      </c>
      <c r="W20" s="298" t="str">
        <f t="shared" si="3"/>
        <v>No</v>
      </c>
      <c r="X20" s="299" t="str">
        <f t="shared" si="4"/>
        <v>No</v>
      </c>
      <c r="Y20" s="299" t="str">
        <f t="shared" si="5"/>
        <v>No</v>
      </c>
      <c r="Z20" s="299" t="str">
        <f t="shared" si="6"/>
        <v>No</v>
      </c>
      <c r="AA20" s="299" t="str">
        <f t="shared" si="7"/>
        <v>No</v>
      </c>
      <c r="AB20" s="299" t="str">
        <f t="shared" si="8"/>
        <v>No</v>
      </c>
      <c r="AC20" s="299" t="str">
        <f t="shared" si="9"/>
        <v>No</v>
      </c>
      <c r="AD20" s="299" t="str">
        <f t="shared" si="10"/>
        <v>No</v>
      </c>
      <c r="AE20" s="299" t="str">
        <f t="shared" si="11"/>
        <v>No</v>
      </c>
    </row>
    <row r="21" spans="1:34" x14ac:dyDescent="0.3">
      <c r="A21" s="45"/>
      <c r="B21" s="356" t="s">
        <v>225</v>
      </c>
      <c r="C21" s="357"/>
      <c r="D21" s="361"/>
      <c r="E21" s="713" t="str">
        <f>IFERROR(COUNTIFS(AD7:AD26,"Yes")/(COUNTIFS('7b. TB TX REGISTER - PL'!C8:C27,"Yes")), "NA")</f>
        <v>NA</v>
      </c>
      <c r="F21" s="714"/>
      <c r="G21" s="6"/>
      <c r="H21" s="304" t="s">
        <v>42</v>
      </c>
      <c r="I21" s="309">
        <f>'5b. PRESUMPTIVE REGISTER -  PL'!D28</f>
        <v>0</v>
      </c>
      <c r="J21" s="310">
        <f>'6b. LAB REGISTER - PL'!D25</f>
        <v>0</v>
      </c>
      <c r="K21" s="311">
        <f>'7b. TB TX REGISTER - PL'!E22</f>
        <v>0</v>
      </c>
      <c r="L21" s="309">
        <f>'5b. PRESUMPTIVE REGISTER -  PL'!E28</f>
        <v>0</v>
      </c>
      <c r="M21" s="310">
        <f>'6b. LAB REGISTER - PL'!E25</f>
        <v>0</v>
      </c>
      <c r="N21" s="311">
        <f>'7b. TB TX REGISTER - PL'!F22</f>
        <v>0</v>
      </c>
      <c r="O21" s="309">
        <f>'5b. PRESUMPTIVE REGISTER -  PL'!L28</f>
        <v>0</v>
      </c>
      <c r="P21" s="310">
        <f>'6b. LAB REGISTER - PL'!J25</f>
        <v>0</v>
      </c>
      <c r="Q21" s="311">
        <f>'7b. TB TX REGISTER - PL'!H22</f>
        <v>0</v>
      </c>
      <c r="R21"/>
      <c r="S21" s="304" t="s">
        <v>42</v>
      </c>
      <c r="T21" s="314" t="str">
        <f t="shared" si="0"/>
        <v>No</v>
      </c>
      <c r="U21" s="298" t="str">
        <f t="shared" si="1"/>
        <v>No</v>
      </c>
      <c r="V21" s="298" t="str">
        <f t="shared" si="2"/>
        <v>No</v>
      </c>
      <c r="W21" s="298" t="str">
        <f t="shared" si="3"/>
        <v>No</v>
      </c>
      <c r="X21" s="299" t="str">
        <f t="shared" si="4"/>
        <v>No</v>
      </c>
      <c r="Y21" s="299" t="str">
        <f t="shared" si="5"/>
        <v>No</v>
      </c>
      <c r="Z21" s="299" t="str">
        <f t="shared" si="6"/>
        <v>No</v>
      </c>
      <c r="AA21" s="299" t="str">
        <f t="shared" si="7"/>
        <v>No</v>
      </c>
      <c r="AB21" s="299" t="str">
        <f t="shared" si="8"/>
        <v>No</v>
      </c>
      <c r="AC21" s="299" t="str">
        <f t="shared" si="9"/>
        <v>No</v>
      </c>
      <c r="AD21" s="299" t="str">
        <f t="shared" si="10"/>
        <v>No</v>
      </c>
      <c r="AE21" s="299" t="str">
        <f t="shared" si="11"/>
        <v>No</v>
      </c>
    </row>
    <row r="22" spans="1:34" x14ac:dyDescent="0.3">
      <c r="A22" s="45"/>
      <c r="B22" s="354" t="s">
        <v>104</v>
      </c>
      <c r="C22" s="355"/>
      <c r="D22" s="362"/>
      <c r="E22" s="363"/>
      <c r="F22" s="364"/>
      <c r="G22" s="6"/>
      <c r="H22" s="304" t="s">
        <v>43</v>
      </c>
      <c r="I22" s="309">
        <f>'5b. PRESUMPTIVE REGISTER -  PL'!D29</f>
        <v>0</v>
      </c>
      <c r="J22" s="310">
        <f>'6b. LAB REGISTER - PL'!D26</f>
        <v>0</v>
      </c>
      <c r="K22" s="311">
        <f>'7b. TB TX REGISTER - PL'!E23</f>
        <v>0</v>
      </c>
      <c r="L22" s="309">
        <f>'5b. PRESUMPTIVE REGISTER -  PL'!E29</f>
        <v>0</v>
      </c>
      <c r="M22" s="310">
        <f>'6b. LAB REGISTER - PL'!E26</f>
        <v>0</v>
      </c>
      <c r="N22" s="311">
        <f>'7b. TB TX REGISTER - PL'!F23</f>
        <v>0</v>
      </c>
      <c r="O22" s="309">
        <f>'5b. PRESUMPTIVE REGISTER -  PL'!L29</f>
        <v>0</v>
      </c>
      <c r="P22" s="310">
        <f>'6b. LAB REGISTER - PL'!J26</f>
        <v>0</v>
      </c>
      <c r="Q22" s="311">
        <f>'7b. TB TX REGISTER - PL'!H23</f>
        <v>0</v>
      </c>
      <c r="R22"/>
      <c r="S22" s="304" t="s">
        <v>43</v>
      </c>
      <c r="T22" s="314" t="str">
        <f t="shared" si="0"/>
        <v>No</v>
      </c>
      <c r="U22" s="298" t="str">
        <f t="shared" si="1"/>
        <v>No</v>
      </c>
      <c r="V22" s="298" t="str">
        <f t="shared" si="2"/>
        <v>No</v>
      </c>
      <c r="W22" s="298" t="str">
        <f t="shared" si="3"/>
        <v>No</v>
      </c>
      <c r="X22" s="299" t="str">
        <f t="shared" si="4"/>
        <v>No</v>
      </c>
      <c r="Y22" s="299" t="str">
        <f t="shared" si="5"/>
        <v>No</v>
      </c>
      <c r="Z22" s="299" t="str">
        <f t="shared" si="6"/>
        <v>No</v>
      </c>
      <c r="AA22" s="299" t="str">
        <f t="shared" si="7"/>
        <v>No</v>
      </c>
      <c r="AB22" s="299" t="str">
        <f t="shared" si="8"/>
        <v>No</v>
      </c>
      <c r="AC22" s="299" t="str">
        <f t="shared" si="9"/>
        <v>No</v>
      </c>
      <c r="AD22" s="299" t="str">
        <f t="shared" si="10"/>
        <v>No</v>
      </c>
      <c r="AE22" s="299" t="str">
        <f t="shared" si="11"/>
        <v>No</v>
      </c>
    </row>
    <row r="23" spans="1:34" x14ac:dyDescent="0.3">
      <c r="A23" s="45"/>
      <c r="B23" s="105" t="s">
        <v>97</v>
      </c>
      <c r="C23" s="109"/>
      <c r="D23" s="717" t="str">
        <f>IFERROR((COUNTIFS(W7:W26,"Yes"))/(COUNTIFS('7b. TB TX REGISTER - PL'!C8:C27,"Yes")), "NA")</f>
        <v>NA</v>
      </c>
      <c r="E23" s="717"/>
      <c r="F23" s="718"/>
      <c r="G23" s="6"/>
      <c r="H23" s="304" t="s">
        <v>44</v>
      </c>
      <c r="I23" s="309">
        <f>'5b. PRESUMPTIVE REGISTER -  PL'!D30</f>
        <v>0</v>
      </c>
      <c r="J23" s="310">
        <f>'6b. LAB REGISTER - PL'!D27</f>
        <v>0</v>
      </c>
      <c r="K23" s="311">
        <f>'7b. TB TX REGISTER - PL'!E24</f>
        <v>0</v>
      </c>
      <c r="L23" s="309">
        <f>'5b. PRESUMPTIVE REGISTER -  PL'!E30</f>
        <v>0</v>
      </c>
      <c r="M23" s="310">
        <f>'6b. LAB REGISTER - PL'!E27</f>
        <v>0</v>
      </c>
      <c r="N23" s="311">
        <f>'7b. TB TX REGISTER - PL'!F24</f>
        <v>0</v>
      </c>
      <c r="O23" s="309">
        <f>'5b. PRESUMPTIVE REGISTER -  PL'!L30</f>
        <v>0</v>
      </c>
      <c r="P23" s="310">
        <f>'6b. LAB REGISTER - PL'!J27</f>
        <v>0</v>
      </c>
      <c r="Q23" s="311">
        <f>'7b. TB TX REGISTER - PL'!H24</f>
        <v>0</v>
      </c>
      <c r="R23"/>
      <c r="S23" s="304" t="s">
        <v>44</v>
      </c>
      <c r="T23" s="314" t="str">
        <f t="shared" si="0"/>
        <v>No</v>
      </c>
      <c r="U23" s="298" t="str">
        <f t="shared" si="1"/>
        <v>No</v>
      </c>
      <c r="V23" s="298" t="str">
        <f t="shared" si="2"/>
        <v>No</v>
      </c>
      <c r="W23" s="298" t="str">
        <f t="shared" si="3"/>
        <v>No</v>
      </c>
      <c r="X23" s="299" t="str">
        <f t="shared" si="4"/>
        <v>No</v>
      </c>
      <c r="Y23" s="299" t="str">
        <f t="shared" si="5"/>
        <v>No</v>
      </c>
      <c r="Z23" s="299" t="str">
        <f t="shared" si="6"/>
        <v>No</v>
      </c>
      <c r="AA23" s="299" t="str">
        <f t="shared" si="7"/>
        <v>No</v>
      </c>
      <c r="AB23" s="299" t="str">
        <f t="shared" si="8"/>
        <v>No</v>
      </c>
      <c r="AC23" s="299" t="str">
        <f t="shared" si="9"/>
        <v>No</v>
      </c>
      <c r="AD23" s="299" t="str">
        <f t="shared" si="10"/>
        <v>No</v>
      </c>
      <c r="AE23" s="299" t="str">
        <f t="shared" si="11"/>
        <v>No</v>
      </c>
    </row>
    <row r="24" spans="1:34" x14ac:dyDescent="0.3">
      <c r="A24" s="45"/>
      <c r="B24" s="105" t="s">
        <v>98</v>
      </c>
      <c r="C24" s="109"/>
      <c r="D24" s="719" t="str">
        <f>IFERROR((COUNTIFS(AA7:AA26,"Yes"))/(COUNTIFS('7b. TB TX REGISTER - PL'!C8:C27, "Yes")), "NA")</f>
        <v>NA</v>
      </c>
      <c r="E24" s="719"/>
      <c r="F24" s="720"/>
      <c r="G24" s="6"/>
      <c r="H24" s="304" t="s">
        <v>45</v>
      </c>
      <c r="I24" s="309">
        <f>'5b. PRESUMPTIVE REGISTER -  PL'!D31</f>
        <v>0</v>
      </c>
      <c r="J24" s="310">
        <f>'6b. LAB REGISTER - PL'!D28</f>
        <v>0</v>
      </c>
      <c r="K24" s="311">
        <f>'7b. TB TX REGISTER - PL'!E25</f>
        <v>0</v>
      </c>
      <c r="L24" s="309">
        <f>'5b. PRESUMPTIVE REGISTER -  PL'!E31</f>
        <v>0</v>
      </c>
      <c r="M24" s="310">
        <f>'6b. LAB REGISTER - PL'!E28</f>
        <v>0</v>
      </c>
      <c r="N24" s="311">
        <f>'7b. TB TX REGISTER - PL'!F25</f>
        <v>0</v>
      </c>
      <c r="O24" s="309">
        <f>'5b. PRESUMPTIVE REGISTER -  PL'!L31</f>
        <v>0</v>
      </c>
      <c r="P24" s="310">
        <f>'6b. LAB REGISTER - PL'!J28</f>
        <v>0</v>
      </c>
      <c r="Q24" s="311">
        <f>'7b. TB TX REGISTER - PL'!H25</f>
        <v>0</v>
      </c>
      <c r="R24"/>
      <c r="S24" s="304" t="s">
        <v>45</v>
      </c>
      <c r="T24" s="314" t="str">
        <f t="shared" si="0"/>
        <v>No</v>
      </c>
      <c r="U24" s="298" t="str">
        <f t="shared" si="1"/>
        <v>No</v>
      </c>
      <c r="V24" s="298" t="str">
        <f t="shared" si="2"/>
        <v>No</v>
      </c>
      <c r="W24" s="298" t="str">
        <f t="shared" si="3"/>
        <v>No</v>
      </c>
      <c r="X24" s="299" t="str">
        <f t="shared" si="4"/>
        <v>No</v>
      </c>
      <c r="Y24" s="299" t="str">
        <f t="shared" si="5"/>
        <v>No</v>
      </c>
      <c r="Z24" s="299" t="str">
        <f t="shared" si="6"/>
        <v>No</v>
      </c>
      <c r="AA24" s="299" t="str">
        <f t="shared" si="7"/>
        <v>No</v>
      </c>
      <c r="AB24" s="299" t="str">
        <f t="shared" si="8"/>
        <v>No</v>
      </c>
      <c r="AC24" s="299" t="str">
        <f t="shared" si="9"/>
        <v>No</v>
      </c>
      <c r="AD24" s="299" t="str">
        <f t="shared" si="10"/>
        <v>No</v>
      </c>
      <c r="AE24" s="299" t="str">
        <f t="shared" si="11"/>
        <v>No</v>
      </c>
    </row>
    <row r="25" spans="1:34" ht="15" thickBot="1" x14ac:dyDescent="0.35">
      <c r="A25" s="45"/>
      <c r="B25" s="358" t="s">
        <v>226</v>
      </c>
      <c r="C25" s="359"/>
      <c r="D25" s="701" t="str">
        <f>IFERROR((COUNTIFS(AE7:AE26,"Yes"))/(COUNTIFS('7b. TB TX REGISTER - PL'!C8:C27, "Yes")), "NA")</f>
        <v>NA</v>
      </c>
      <c r="E25" s="701"/>
      <c r="F25" s="702"/>
      <c r="G25" s="6"/>
      <c r="H25" s="305" t="s">
        <v>46</v>
      </c>
      <c r="I25" s="309">
        <f>'5b. PRESUMPTIVE REGISTER -  PL'!D32</f>
        <v>0</v>
      </c>
      <c r="J25" s="310">
        <f>'6b. LAB REGISTER - PL'!D29</f>
        <v>0</v>
      </c>
      <c r="K25" s="311">
        <f>'7b. TB TX REGISTER - PL'!E26</f>
        <v>0</v>
      </c>
      <c r="L25" s="309">
        <f>'5b. PRESUMPTIVE REGISTER -  PL'!E32</f>
        <v>0</v>
      </c>
      <c r="M25" s="310">
        <f>'6b. LAB REGISTER - PL'!E29</f>
        <v>0</v>
      </c>
      <c r="N25" s="311">
        <f>'7b. TB TX REGISTER - PL'!F26</f>
        <v>0</v>
      </c>
      <c r="O25" s="309">
        <f>'5b. PRESUMPTIVE REGISTER -  PL'!L32</f>
        <v>0</v>
      </c>
      <c r="P25" s="310">
        <f>'6b. LAB REGISTER - PL'!J29</f>
        <v>0</v>
      </c>
      <c r="Q25" s="311">
        <f>'7b. TB TX REGISTER - PL'!H26</f>
        <v>0</v>
      </c>
      <c r="R25"/>
      <c r="S25" s="304" t="s">
        <v>46</v>
      </c>
      <c r="T25" s="314" t="str">
        <f t="shared" si="0"/>
        <v>No</v>
      </c>
      <c r="U25" s="298" t="str">
        <f t="shared" si="1"/>
        <v>No</v>
      </c>
      <c r="V25" s="298" t="str">
        <f t="shared" si="2"/>
        <v>No</v>
      </c>
      <c r="W25" s="298" t="str">
        <f t="shared" si="3"/>
        <v>No</v>
      </c>
      <c r="X25" s="299" t="str">
        <f t="shared" si="4"/>
        <v>No</v>
      </c>
      <c r="Y25" s="299" t="str">
        <f t="shared" si="5"/>
        <v>No</v>
      </c>
      <c r="Z25" s="299" t="str">
        <f t="shared" si="6"/>
        <v>No</v>
      </c>
      <c r="AA25" s="299" t="str">
        <f t="shared" si="7"/>
        <v>No</v>
      </c>
      <c r="AB25" s="299" t="str">
        <f t="shared" si="8"/>
        <v>No</v>
      </c>
      <c r="AC25" s="299" t="str">
        <f t="shared" si="9"/>
        <v>No</v>
      </c>
      <c r="AD25" s="299" t="str">
        <f t="shared" si="10"/>
        <v>No</v>
      </c>
      <c r="AE25" s="299" t="str">
        <f t="shared" si="11"/>
        <v>No</v>
      </c>
    </row>
    <row r="26" spans="1:34" ht="15" thickBot="1" x14ac:dyDescent="0.35">
      <c r="A26" s="45"/>
      <c r="G26" s="6"/>
      <c r="H26" s="305" t="s">
        <v>47</v>
      </c>
      <c r="I26" s="309">
        <f>'5b. PRESUMPTIVE REGISTER -  PL'!D33</f>
        <v>0</v>
      </c>
      <c r="J26" s="310">
        <f>'6b. LAB REGISTER - PL'!D30</f>
        <v>0</v>
      </c>
      <c r="K26" s="313">
        <f>'7b. TB TX REGISTER - PL'!E27</f>
        <v>0</v>
      </c>
      <c r="L26" s="309">
        <f>'5b. PRESUMPTIVE REGISTER -  PL'!E33</f>
        <v>0</v>
      </c>
      <c r="M26" s="312">
        <f>'6b. LAB REGISTER - PL'!E30</f>
        <v>0</v>
      </c>
      <c r="N26" s="313">
        <f>'7b. TB TX REGISTER - PL'!F27</f>
        <v>0</v>
      </c>
      <c r="O26" s="309">
        <f>'5b. PRESUMPTIVE REGISTER -  PL'!L33</f>
        <v>0</v>
      </c>
      <c r="P26" s="312">
        <f>'6b. LAB REGISTER - PL'!J30</f>
        <v>0</v>
      </c>
      <c r="Q26" s="313">
        <f>'7b. TB TX REGISTER - PL'!H27</f>
        <v>0</v>
      </c>
      <c r="R26"/>
      <c r="S26" s="315" t="s">
        <v>47</v>
      </c>
      <c r="T26" s="314" t="str">
        <f t="shared" si="0"/>
        <v>No</v>
      </c>
      <c r="U26" s="298" t="str">
        <f t="shared" si="1"/>
        <v>No</v>
      </c>
      <c r="V26" s="298" t="str">
        <f t="shared" si="2"/>
        <v>No</v>
      </c>
      <c r="W26" s="298" t="str">
        <f t="shared" si="3"/>
        <v>No</v>
      </c>
      <c r="X26" s="299" t="str">
        <f t="shared" si="4"/>
        <v>No</v>
      </c>
      <c r="Y26" s="299" t="str">
        <f t="shared" si="5"/>
        <v>No</v>
      </c>
      <c r="Z26" s="299" t="str">
        <f t="shared" si="6"/>
        <v>No</v>
      </c>
      <c r="AA26" s="299" t="str">
        <f t="shared" si="7"/>
        <v>No</v>
      </c>
      <c r="AB26" s="299" t="str">
        <f t="shared" si="8"/>
        <v>No</v>
      </c>
      <c r="AC26" s="299" t="str">
        <f t="shared" si="9"/>
        <v>No</v>
      </c>
      <c r="AD26" s="299" t="str">
        <f t="shared" si="10"/>
        <v>No</v>
      </c>
      <c r="AE26" s="299" t="str">
        <f t="shared" si="11"/>
        <v>No</v>
      </c>
    </row>
    <row r="27" spans="1:34" x14ac:dyDescent="0.3">
      <c r="A27" s="45"/>
      <c r="G27" s="6"/>
    </row>
    <row r="28" spans="1:34" x14ac:dyDescent="0.3">
      <c r="A28" s="45"/>
      <c r="G28" s="6"/>
    </row>
    <row r="29" spans="1:34" x14ac:dyDescent="0.3">
      <c r="A29" s="45"/>
      <c r="G29" s="6"/>
      <c r="AH29" s="45"/>
    </row>
    <row r="30" spans="1:34" x14ac:dyDescent="0.3">
      <c r="A30" s="45"/>
      <c r="B30" s="114"/>
      <c r="C30" s="700"/>
      <c r="D30" s="700"/>
      <c r="E30" s="700"/>
      <c r="F30" s="700"/>
      <c r="G30" s="6"/>
    </row>
    <row r="31" spans="1:34" x14ac:dyDescent="0.3">
      <c r="A31" s="45"/>
      <c r="C31" s="700"/>
      <c r="D31" s="700"/>
      <c r="E31" s="700"/>
      <c r="F31" s="700"/>
      <c r="G31" s="45"/>
    </row>
    <row r="32" spans="1:34" x14ac:dyDescent="0.3">
      <c r="A32" s="45"/>
      <c r="G32" s="45"/>
      <c r="U32"/>
      <c r="V32"/>
      <c r="W32"/>
      <c r="X32"/>
      <c r="Y32"/>
      <c r="Z32"/>
    </row>
    <row r="33" spans="1:26" x14ac:dyDescent="0.3">
      <c r="A33" s="45"/>
      <c r="G33" s="45"/>
      <c r="U33"/>
      <c r="V33"/>
      <c r="W33"/>
      <c r="X33"/>
      <c r="Y33"/>
      <c r="Z33"/>
    </row>
    <row r="34" spans="1:26" x14ac:dyDescent="0.3">
      <c r="A34" s="45"/>
      <c r="G34" s="45"/>
      <c r="U34"/>
      <c r="V34"/>
      <c r="W34"/>
      <c r="X34"/>
      <c r="Y34"/>
      <c r="Z34"/>
    </row>
    <row r="35" spans="1:26" x14ac:dyDescent="0.3">
      <c r="H35"/>
      <c r="L35"/>
      <c r="M35"/>
      <c r="N35"/>
      <c r="O35"/>
      <c r="P35"/>
      <c r="Q35"/>
      <c r="R35"/>
      <c r="U35"/>
      <c r="V35"/>
      <c r="W35"/>
      <c r="X35"/>
      <c r="Y35"/>
      <c r="Z35"/>
    </row>
    <row r="36" spans="1:26" x14ac:dyDescent="0.3">
      <c r="H36"/>
      <c r="L36"/>
      <c r="M36"/>
      <c r="N36"/>
      <c r="O36"/>
      <c r="P36"/>
      <c r="Q36"/>
      <c r="R36"/>
      <c r="U36"/>
      <c r="V36"/>
      <c r="W36"/>
      <c r="X36"/>
      <c r="Y36"/>
      <c r="Z36"/>
    </row>
    <row r="37" spans="1:26" x14ac:dyDescent="0.3">
      <c r="H37"/>
      <c r="L37"/>
      <c r="M37"/>
      <c r="N37"/>
      <c r="O37"/>
      <c r="P37"/>
      <c r="Q37"/>
      <c r="R37"/>
      <c r="S37"/>
      <c r="T37"/>
      <c r="U37"/>
      <c r="V37"/>
      <c r="W37"/>
      <c r="X37"/>
      <c r="Y37"/>
      <c r="Z37"/>
    </row>
    <row r="38" spans="1:26" x14ac:dyDescent="0.3">
      <c r="H38"/>
      <c r="L38"/>
      <c r="M38"/>
      <c r="N38"/>
      <c r="O38"/>
      <c r="P38"/>
      <c r="Q38"/>
      <c r="R38"/>
      <c r="S38"/>
      <c r="T38"/>
      <c r="U38"/>
      <c r="V38"/>
      <c r="W38"/>
      <c r="X38"/>
      <c r="Y38"/>
      <c r="Z38"/>
    </row>
    <row r="39" spans="1:26" x14ac:dyDescent="0.3">
      <c r="H39"/>
      <c r="L39"/>
      <c r="M39"/>
      <c r="N39"/>
      <c r="O39"/>
      <c r="P39"/>
      <c r="Q39"/>
      <c r="R39"/>
      <c r="S39"/>
      <c r="T39"/>
      <c r="U39"/>
      <c r="V39"/>
      <c r="W39"/>
      <c r="X39"/>
      <c r="Y39"/>
      <c r="Z39"/>
    </row>
    <row r="40" spans="1:26" x14ac:dyDescent="0.3">
      <c r="H40"/>
      <c r="L40"/>
      <c r="M40"/>
      <c r="N40"/>
      <c r="O40"/>
      <c r="P40"/>
      <c r="Q40"/>
      <c r="R40"/>
      <c r="S40"/>
      <c r="T40"/>
      <c r="U40"/>
      <c r="V40"/>
      <c r="W40"/>
      <c r="X40"/>
      <c r="Y40"/>
      <c r="Z40"/>
    </row>
    <row r="41" spans="1:26" x14ac:dyDescent="0.3">
      <c r="H41"/>
      <c r="L41"/>
      <c r="M41"/>
      <c r="N41"/>
      <c r="O41"/>
      <c r="P41"/>
      <c r="Q41"/>
      <c r="R41"/>
      <c r="S41"/>
      <c r="T41"/>
      <c r="U41"/>
      <c r="V41"/>
      <c r="W41"/>
      <c r="X41"/>
      <c r="Y41"/>
      <c r="Z41"/>
    </row>
    <row r="42" spans="1:26" x14ac:dyDescent="0.3">
      <c r="H42"/>
      <c r="L42"/>
      <c r="M42"/>
      <c r="N42"/>
      <c r="O42"/>
      <c r="P42"/>
      <c r="Q42"/>
      <c r="R42"/>
      <c r="S42"/>
      <c r="T42"/>
      <c r="U42"/>
      <c r="V42"/>
      <c r="W42"/>
      <c r="X42"/>
      <c r="Y42"/>
      <c r="Z42"/>
    </row>
    <row r="43" spans="1:26" x14ac:dyDescent="0.3">
      <c r="H43"/>
      <c r="L43"/>
      <c r="M43"/>
      <c r="N43"/>
      <c r="O43"/>
      <c r="P43"/>
      <c r="Q43"/>
      <c r="R43"/>
      <c r="S43"/>
      <c r="T43"/>
      <c r="U43"/>
      <c r="V43"/>
      <c r="W43"/>
      <c r="X43"/>
      <c r="Y43"/>
      <c r="Z43"/>
    </row>
    <row r="44" spans="1:26" x14ac:dyDescent="0.3">
      <c r="H44"/>
      <c r="L44"/>
      <c r="M44"/>
      <c r="N44"/>
      <c r="O44"/>
      <c r="P44"/>
      <c r="Q44"/>
      <c r="R44"/>
      <c r="S44"/>
      <c r="T44"/>
      <c r="U44"/>
      <c r="V44"/>
      <c r="W44"/>
      <c r="X44"/>
      <c r="Y44"/>
      <c r="Z44"/>
    </row>
    <row r="45" spans="1:26" x14ac:dyDescent="0.3">
      <c r="H45"/>
      <c r="L45"/>
      <c r="M45"/>
      <c r="N45"/>
      <c r="O45"/>
      <c r="P45"/>
      <c r="Q45"/>
      <c r="R45"/>
      <c r="S45"/>
      <c r="T45"/>
      <c r="U45"/>
      <c r="V45"/>
      <c r="W45"/>
      <c r="X45"/>
      <c r="Y45"/>
      <c r="Z45"/>
    </row>
    <row r="46" spans="1:26" x14ac:dyDescent="0.3">
      <c r="H46"/>
      <c r="L46"/>
      <c r="M46"/>
      <c r="N46"/>
      <c r="O46"/>
      <c r="P46"/>
      <c r="Q46"/>
      <c r="R46"/>
      <c r="S46"/>
      <c r="T46"/>
      <c r="U46"/>
      <c r="V46"/>
      <c r="W46"/>
      <c r="X46"/>
      <c r="Y46"/>
      <c r="Z46"/>
    </row>
    <row r="47" spans="1:26" x14ac:dyDescent="0.3">
      <c r="H47"/>
      <c r="L47"/>
      <c r="M47"/>
      <c r="N47"/>
      <c r="O47"/>
      <c r="P47"/>
      <c r="Q47"/>
      <c r="R47"/>
      <c r="S47"/>
      <c r="T47"/>
      <c r="U47"/>
      <c r="V47"/>
      <c r="W47"/>
      <c r="X47"/>
      <c r="Y47"/>
      <c r="Z47"/>
    </row>
    <row r="48" spans="1:26" x14ac:dyDescent="0.3">
      <c r="H48"/>
      <c r="L48"/>
      <c r="M48"/>
      <c r="N48"/>
      <c r="O48"/>
      <c r="P48"/>
      <c r="Q48"/>
      <c r="R48"/>
      <c r="S48"/>
      <c r="T48"/>
      <c r="U48"/>
      <c r="V48"/>
      <c r="W48"/>
      <c r="X48"/>
      <c r="Y48"/>
      <c r="Z48"/>
    </row>
    <row r="49" spans="8:26" x14ac:dyDescent="0.3">
      <c r="H49"/>
      <c r="L49"/>
      <c r="M49"/>
      <c r="N49"/>
      <c r="O49"/>
      <c r="P49"/>
      <c r="Q49"/>
      <c r="R49"/>
      <c r="S49"/>
      <c r="T49"/>
      <c r="U49"/>
      <c r="V49"/>
      <c r="W49"/>
      <c r="X49"/>
      <c r="Y49"/>
      <c r="Z49"/>
    </row>
    <row r="50" spans="8:26" x14ac:dyDescent="0.3">
      <c r="H50"/>
      <c r="L50"/>
      <c r="M50"/>
      <c r="N50"/>
      <c r="O50"/>
      <c r="P50"/>
      <c r="Q50"/>
      <c r="R50"/>
      <c r="S50"/>
      <c r="T50"/>
      <c r="U50"/>
      <c r="V50"/>
      <c r="W50"/>
      <c r="X50"/>
      <c r="Y50"/>
      <c r="Z50"/>
    </row>
    <row r="51" spans="8:26" x14ac:dyDescent="0.3">
      <c r="H51"/>
      <c r="L51"/>
      <c r="M51"/>
      <c r="N51"/>
      <c r="O51"/>
      <c r="P51"/>
      <c r="Q51"/>
      <c r="R51"/>
      <c r="S51"/>
      <c r="T51"/>
      <c r="U51"/>
      <c r="V51"/>
      <c r="W51"/>
      <c r="X51"/>
      <c r="Y51"/>
      <c r="Z51"/>
    </row>
    <row r="52" spans="8:26" x14ac:dyDescent="0.3">
      <c r="H52"/>
      <c r="L52"/>
      <c r="M52"/>
      <c r="N52"/>
      <c r="O52"/>
      <c r="P52"/>
      <c r="Q52"/>
      <c r="R52"/>
      <c r="S52"/>
      <c r="T52"/>
    </row>
    <row r="53" spans="8:26" x14ac:dyDescent="0.3">
      <c r="H53"/>
      <c r="L53"/>
      <c r="M53"/>
      <c r="N53"/>
      <c r="O53"/>
      <c r="P53"/>
      <c r="Q53"/>
      <c r="R53"/>
      <c r="S53"/>
      <c r="T53"/>
    </row>
    <row r="54" spans="8:26" x14ac:dyDescent="0.3">
      <c r="H54"/>
      <c r="L54"/>
      <c r="M54"/>
      <c r="N54"/>
      <c r="O54"/>
      <c r="P54"/>
      <c r="Q54"/>
      <c r="R54"/>
      <c r="S54"/>
      <c r="T54"/>
    </row>
    <row r="55" spans="8:26" x14ac:dyDescent="0.3">
      <c r="S55"/>
      <c r="T55"/>
    </row>
    <row r="56" spans="8:26" x14ac:dyDescent="0.3">
      <c r="S56"/>
      <c r="T56"/>
    </row>
  </sheetData>
  <mergeCells count="30">
    <mergeCell ref="C3:F3"/>
    <mergeCell ref="B3:B5"/>
    <mergeCell ref="E21:F21"/>
    <mergeCell ref="B18:D18"/>
    <mergeCell ref="O5:Q5"/>
    <mergeCell ref="E12:F12"/>
    <mergeCell ref="C4:F4"/>
    <mergeCell ref="C5:F5"/>
    <mergeCell ref="B7:F7"/>
    <mergeCell ref="E15:F15"/>
    <mergeCell ref="B14:D14"/>
    <mergeCell ref="E20:F20"/>
    <mergeCell ref="I5:K5"/>
    <mergeCell ref="L5:N5"/>
    <mergeCell ref="C31:F31"/>
    <mergeCell ref="D25:F25"/>
    <mergeCell ref="T3:W3"/>
    <mergeCell ref="X3:AA3"/>
    <mergeCell ref="AB3:AE3"/>
    <mergeCell ref="C30:F30"/>
    <mergeCell ref="E16:F16"/>
    <mergeCell ref="E19:F19"/>
    <mergeCell ref="B8:F8"/>
    <mergeCell ref="E13:F13"/>
    <mergeCell ref="E17:F17"/>
    <mergeCell ref="B10:D10"/>
    <mergeCell ref="E11:F11"/>
    <mergeCell ref="D23:F23"/>
    <mergeCell ref="D24:F24"/>
    <mergeCell ref="H3:R4"/>
  </mergeCells>
  <phoneticPr fontId="25" type="noConversion"/>
  <conditionalFormatting sqref="T7:AE26 I7:Q26">
    <cfRule type="beginsWith" dxfId="425" priority="1" operator="beginsWith" text="0">
      <formula>LEFT(I7,LEN("0"))="0"</formula>
    </cfRule>
  </conditionalFormatting>
  <pageMargins left="0.7" right="0.7" top="0.75" bottom="0.75" header="0.3" footer="0.3"/>
  <pageSetup orientation="portrait" r:id="rId1"/>
  <ignoredErrors>
    <ignoredError sqref="W7:W26 AA7:AA26" formula="1"/>
    <ignoredError sqref="B14:F14 B11:D11 F11 B12:D12 F12 B13:D13 F13 B18:F18 B15:D15 F15 B16:D16 F16 B17:D17 F17 B21:D21 B19:D19 F19 B20:D20 F20 F21" evalError="1"/>
    <ignoredError sqref="I7 I8:I26 L7 O7" calculatedColumn="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499984740745262"/>
  </sheetPr>
  <dimension ref="A1:XDT63"/>
  <sheetViews>
    <sheetView showGridLines="0" zoomScale="70" zoomScaleNormal="70" workbookViewId="0"/>
  </sheetViews>
  <sheetFormatPr defaultColWidth="8.6640625" defaultRowHeight="14.4" x14ac:dyDescent="0.3"/>
  <cols>
    <col min="1" max="1" width="2" style="6" customWidth="1"/>
    <col min="2" max="2" width="2.6640625" style="6" customWidth="1"/>
    <col min="3" max="3" width="43.21875" style="6" bestFit="1" customWidth="1"/>
    <col min="4" max="4" width="7.44140625" style="7" customWidth="1"/>
    <col min="5" max="5" width="7.5546875" style="7" customWidth="1"/>
    <col min="6" max="8" width="8" style="7" customWidth="1"/>
    <col min="9" max="9" width="9.5546875" style="6" customWidth="1"/>
    <col min="10" max="10" width="4.88671875" style="7" customWidth="1"/>
    <col min="11" max="11" width="3.44140625" style="6" customWidth="1"/>
    <col min="12" max="12" width="48.109375" style="6" customWidth="1"/>
    <col min="13" max="13" width="11.88671875" style="6" customWidth="1"/>
    <col min="14" max="14" width="5.44140625" style="6" customWidth="1"/>
    <col min="15" max="15" width="2.5546875" style="6" customWidth="1"/>
    <col min="16" max="16" width="45.6640625" style="6" customWidth="1"/>
    <col min="17" max="17" width="7.44140625" style="7" customWidth="1"/>
    <col min="18" max="18" width="5.33203125" style="6" customWidth="1"/>
    <col min="19" max="19" width="27.77734375" style="6" bestFit="1" customWidth="1"/>
    <col min="20" max="20" width="7.21875" style="6" bestFit="1" customWidth="1"/>
    <col min="21" max="16384" width="8.6640625" style="6"/>
  </cols>
  <sheetData>
    <row r="1" spans="1:16348" s="222" customFormat="1" ht="47.4" customHeight="1" x14ac:dyDescent="0.3">
      <c r="A1"/>
      <c r="B1" s="736" t="s">
        <v>82</v>
      </c>
      <c r="C1" s="736"/>
      <c r="D1" s="736"/>
      <c r="E1" s="736"/>
      <c r="F1" s="736"/>
      <c r="G1" s="736"/>
      <c r="H1" s="736"/>
      <c r="I1" s="736"/>
      <c r="J1"/>
      <c r="K1" s="753" t="s">
        <v>74</v>
      </c>
      <c r="L1" s="753"/>
      <c r="M1" s="753"/>
      <c r="N1"/>
      <c r="O1" s="752" t="s">
        <v>78</v>
      </c>
      <c r="P1" s="752"/>
      <c r="Q1" s="752"/>
      <c r="R1"/>
      <c r="S1" s="743" t="s">
        <v>174</v>
      </c>
      <c r="T1" s="743"/>
      <c r="U1"/>
    </row>
    <row r="2" spans="1:16348" s="44" customFormat="1" ht="16.2" customHeight="1" thickBot="1" x14ac:dyDescent="0.35">
      <c r="A2" s="27"/>
      <c r="B2" s="61"/>
      <c r="C2" s="61"/>
      <c r="D2" s="61"/>
      <c r="E2" s="61"/>
      <c r="F2" s="61"/>
      <c r="G2" s="61"/>
      <c r="H2" s="61"/>
      <c r="I2" s="61"/>
      <c r="J2" s="62"/>
      <c r="K2" s="11"/>
      <c r="L2" s="11"/>
      <c r="M2" s="12"/>
      <c r="N2" s="12"/>
      <c r="O2" s="62"/>
      <c r="P2" s="90"/>
      <c r="Q2" s="90"/>
    </row>
    <row r="3" spans="1:16348" ht="37.5" customHeight="1" thickBot="1" x14ac:dyDescent="0.35">
      <c r="A3" s="63"/>
      <c r="B3" s="737" t="s">
        <v>85</v>
      </c>
      <c r="C3" s="738"/>
      <c r="D3" s="738"/>
      <c r="E3" s="738"/>
      <c r="F3" s="738"/>
      <c r="G3" s="738"/>
      <c r="H3" s="738"/>
      <c r="I3" s="739"/>
      <c r="J3" s="12"/>
      <c r="K3" s="748" t="s">
        <v>87</v>
      </c>
      <c r="L3" s="749"/>
      <c r="M3" s="750"/>
      <c r="N3" s="12"/>
      <c r="O3" s="740" t="s">
        <v>80</v>
      </c>
      <c r="P3" s="741"/>
      <c r="Q3" s="742"/>
      <c r="S3" s="734" t="s">
        <v>80</v>
      </c>
      <c r="T3" s="735"/>
      <c r="U3" s="223"/>
    </row>
    <row r="4" spans="1:16348" ht="28.2" thickBot="1" x14ac:dyDescent="0.35">
      <c r="A4" s="63"/>
      <c r="B4" s="746" t="s">
        <v>1</v>
      </c>
      <c r="C4" s="747"/>
      <c r="D4" s="131" t="str">
        <f>IF('1. ASSESSMENT PROFILE'!D38&lt;&gt;"", '1. ASSESSMENT PROFILE'!D38,"")</f>
        <v/>
      </c>
      <c r="E4" s="132" t="str">
        <f>IF('1. ASSESSMENT PROFILE'!D39&lt;&gt;"", '1. ASSESSMENT PROFILE'!D39,"")</f>
        <v/>
      </c>
      <c r="F4" s="132" t="str">
        <f>IF('1. ASSESSMENT PROFILE'!D40&lt;&gt;"", '1. ASSESSMENT PROFILE'!D40,"")</f>
        <v/>
      </c>
      <c r="G4" s="480" t="str">
        <f>IF('1. ASSESSMENT PROFILE'!D41&lt;&gt;"", '1. ASSESSMENT PROFILE'!D41,"")</f>
        <v/>
      </c>
      <c r="H4" s="480" t="str">
        <f>IF('1. ASSESSMENT PROFILE'!D42&lt;&gt;"", '1. ASSESSMENT PROFILE'!D42,"")</f>
        <v/>
      </c>
      <c r="I4" s="149" t="s">
        <v>306</v>
      </c>
      <c r="J4" s="12"/>
      <c r="K4" s="751" t="s">
        <v>1</v>
      </c>
      <c r="L4" s="750"/>
      <c r="M4" s="133" t="s">
        <v>84</v>
      </c>
      <c r="N4" s="12"/>
      <c r="O4" s="744" t="s">
        <v>1</v>
      </c>
      <c r="P4" s="745"/>
      <c r="Q4" s="134" t="s">
        <v>84</v>
      </c>
      <c r="R4" s="32"/>
      <c r="S4" s="224" t="s">
        <v>171</v>
      </c>
      <c r="T4" s="225" t="s">
        <v>84</v>
      </c>
    </row>
    <row r="5" spans="1:16348" ht="15" thickBot="1" x14ac:dyDescent="0.35">
      <c r="A5" s="63"/>
      <c r="B5" s="80" t="s">
        <v>111</v>
      </c>
      <c r="C5" s="81"/>
      <c r="D5" s="100">
        <f>AggPresumptiveP1[[#Totals],[Total Presumptive TB]]</f>
        <v>0</v>
      </c>
      <c r="E5" s="100">
        <f>AggPresumptiveP2[[#Totals],[Total Presumptive TB]]</f>
        <v>0</v>
      </c>
      <c r="F5" s="100">
        <f>AggPresumptiveP3[[#Totals],[Total Presumptive TB]]</f>
        <v>0</v>
      </c>
      <c r="G5" s="100">
        <f>AggPresumptiveP4[[#Totals],[Total Presumptive TB]]</f>
        <v>0</v>
      </c>
      <c r="H5" s="100">
        <f>AggPresumptiveP5[[#Totals],[Total Presumptive TB]]</f>
        <v>0</v>
      </c>
      <c r="I5" s="39">
        <f>SUM(D5:H5)</f>
        <v>0</v>
      </c>
      <c r="J5" s="12"/>
      <c r="K5" s="66" t="s">
        <v>60</v>
      </c>
      <c r="L5" s="68"/>
      <c r="M5" s="483">
        <f>AggLabP1[[#Totals],[Total Specimens]]</f>
        <v>0</v>
      </c>
      <c r="N5" s="12"/>
      <c r="O5" s="80" t="s">
        <v>72</v>
      </c>
      <c r="P5" s="81"/>
      <c r="Q5" s="486">
        <f>AggTreatmentP1[[#Totals],[Total Patients ]]</f>
        <v>0</v>
      </c>
      <c r="R5" s="32"/>
      <c r="S5" s="237" t="s">
        <v>164</v>
      </c>
      <c r="T5" s="220">
        <f>AggTPTP1[[#Totals],[Total Patients ]]</f>
        <v>0</v>
      </c>
    </row>
    <row r="6" spans="1:16348" x14ac:dyDescent="0.3">
      <c r="A6" s="63"/>
      <c r="B6" s="71" t="s">
        <v>14</v>
      </c>
      <c r="C6" s="54"/>
      <c r="D6" s="79"/>
      <c r="E6" s="76"/>
      <c r="F6" s="79"/>
      <c r="G6" s="79"/>
      <c r="H6" s="79"/>
      <c r="I6" s="35"/>
      <c r="J6" s="12"/>
      <c r="K6" s="48" t="s">
        <v>14</v>
      </c>
      <c r="L6" s="70"/>
      <c r="M6" s="484"/>
      <c r="N6" s="12"/>
      <c r="O6" s="150" t="s">
        <v>14</v>
      </c>
      <c r="P6" s="69"/>
      <c r="Q6" s="94"/>
      <c r="R6" s="101"/>
      <c r="S6" s="238" t="s">
        <v>165</v>
      </c>
      <c r="T6" s="219">
        <f>AggTPTP1[[#Totals],[Age 0-14]]</f>
        <v>0</v>
      </c>
    </row>
    <row r="7" spans="1:16348" ht="15" customHeight="1" x14ac:dyDescent="0.3">
      <c r="A7" s="63"/>
      <c r="B7" s="48"/>
      <c r="C7" s="54" t="s">
        <v>18</v>
      </c>
      <c r="D7" s="79">
        <f>AggPresumptiveP1[[#Totals],[Age 0-14]]</f>
        <v>0</v>
      </c>
      <c r="E7" s="79">
        <f>AggPresumptiveP2[[#Totals],[Age 0-14]]</f>
        <v>0</v>
      </c>
      <c r="F7" s="79">
        <f>AggPresumptiveP3[[#Totals],[Age 0-14]]</f>
        <v>0</v>
      </c>
      <c r="G7" s="79">
        <f>AggPresumptiveP4[[#Totals],[Age 0-14]]</f>
        <v>0</v>
      </c>
      <c r="H7" s="79">
        <f>AggPresumptiveP5[[#Totals],[Age 0-14]]</f>
        <v>0</v>
      </c>
      <c r="I7" s="35">
        <f>SUM(D7:H7)</f>
        <v>0</v>
      </c>
      <c r="J7" s="12"/>
      <c r="K7" s="48"/>
      <c r="L7" s="70" t="s">
        <v>18</v>
      </c>
      <c r="M7" s="85">
        <f>AggLabP1[[#Totals],[Age 0-14]]</f>
        <v>0</v>
      </c>
      <c r="N7" s="12"/>
      <c r="O7" s="48"/>
      <c r="P7" s="54" t="s">
        <v>18</v>
      </c>
      <c r="Q7" s="92">
        <f>AggTreatmentP1[[#Totals],[Age 0-14]]</f>
        <v>0</v>
      </c>
      <c r="R7" s="32"/>
      <c r="S7" s="237" t="s">
        <v>166</v>
      </c>
      <c r="T7" s="220">
        <f>AggTPTP1[[#Totals],[Age 15+]]</f>
        <v>0</v>
      </c>
    </row>
    <row r="8" spans="1:16348" ht="15" thickBot="1" x14ac:dyDescent="0.35">
      <c r="A8" s="65"/>
      <c r="B8" s="48"/>
      <c r="C8" s="54" t="s">
        <v>19</v>
      </c>
      <c r="D8" s="79">
        <f>AggPresumptiveP1[[#Totals],[Age 15+ ]]</f>
        <v>0</v>
      </c>
      <c r="E8" s="79">
        <f>AggPresumptiveP2[[#Totals],[Age 15+ ]]</f>
        <v>0</v>
      </c>
      <c r="F8" s="79">
        <f>AggPresumptiveP3[[#Totals],[Age 15+ ]]</f>
        <v>0</v>
      </c>
      <c r="G8" s="79">
        <f>AggPresumptiveP4[[#Totals],[Age 15+ ]]</f>
        <v>0</v>
      </c>
      <c r="H8" s="79">
        <f>AggPresumptiveP5[[#Totals],[Age 15+ ]]</f>
        <v>0</v>
      </c>
      <c r="I8" s="35">
        <f>SUM(D8:H8)</f>
        <v>0</v>
      </c>
      <c r="J8" s="12"/>
      <c r="K8" s="48"/>
      <c r="L8" s="70" t="s">
        <v>19</v>
      </c>
      <c r="M8" s="485">
        <f>AggLabP1[[#Totals],[Age 15+]]</f>
        <v>0</v>
      </c>
      <c r="N8" s="12"/>
      <c r="O8" s="56"/>
      <c r="P8" s="57" t="s">
        <v>19</v>
      </c>
      <c r="Q8" s="96">
        <f>AggTreatmentP1[[#Totals],[Age 15+]]</f>
        <v>0</v>
      </c>
      <c r="R8" s="32"/>
      <c r="S8" s="238" t="s">
        <v>167</v>
      </c>
      <c r="T8" s="219">
        <f>AggTPTP1[[#Totals],[PLHIV newly enrolled into HIV care and treatment]]</f>
        <v>0</v>
      </c>
    </row>
    <row r="9" spans="1:16348" ht="19.2" customHeight="1" thickBot="1" x14ac:dyDescent="0.35">
      <c r="A9" s="13"/>
      <c r="B9" s="152" t="s">
        <v>88</v>
      </c>
      <c r="C9" s="153"/>
      <c r="D9" s="78">
        <f>AggPresumptiveP1[[#Totals],[Number Specimens Collected]]</f>
        <v>0</v>
      </c>
      <c r="E9" s="78">
        <f>AggPresumptiveP2[[#Totals],[Number Specimens Collected]]</f>
        <v>0</v>
      </c>
      <c r="F9" s="78">
        <f>AggPresumptiveP3[[#Totals],[Number Specimens Collected]]</f>
        <v>0</v>
      </c>
      <c r="G9" s="78">
        <f>AggPresumptiveP4[[#Totals],[Number Specimens Collected]]</f>
        <v>0</v>
      </c>
      <c r="H9" s="78">
        <f>AggPresumptiveP5[[#Totals],[Number Specimens Collected]]</f>
        <v>0</v>
      </c>
      <c r="I9" s="39">
        <f>SUM(D9:H9)</f>
        <v>0</v>
      </c>
      <c r="J9" s="12"/>
      <c r="K9" s="150" t="s">
        <v>57</v>
      </c>
      <c r="L9" s="69"/>
      <c r="M9" s="84"/>
      <c r="N9" s="12"/>
      <c r="O9" s="66" t="s">
        <v>156</v>
      </c>
      <c r="P9" s="67"/>
      <c r="Q9" s="94"/>
      <c r="R9" s="32"/>
      <c r="S9" s="237" t="s">
        <v>168</v>
      </c>
      <c r="T9" s="220">
        <f>AggTPTP1[[#Totals],[PLHIV on follow-up visit for HIV care and treatment ]]</f>
        <v>0</v>
      </c>
    </row>
    <row r="10" spans="1:16348" ht="16.2" customHeight="1" x14ac:dyDescent="0.3">
      <c r="A10" s="13"/>
      <c r="B10" s="66" t="s">
        <v>55</v>
      </c>
      <c r="C10" s="67"/>
      <c r="D10" s="74"/>
      <c r="E10" s="74"/>
      <c r="F10" s="74"/>
      <c r="G10" s="74"/>
      <c r="H10" s="74"/>
      <c r="I10" s="34"/>
      <c r="J10" s="12"/>
      <c r="K10" s="48"/>
      <c r="L10" s="54" t="s">
        <v>49</v>
      </c>
      <c r="M10" s="85">
        <f>AggLabP1[[#Totals],[Positive]]</f>
        <v>0</v>
      </c>
      <c r="N10" s="12"/>
      <c r="O10" s="71"/>
      <c r="P10" s="55" t="s">
        <v>5</v>
      </c>
      <c r="Q10" s="92">
        <f>AggTreatmentP1[[#Totals],[Smear Positive (+/ ++/ +++)]]</f>
        <v>0</v>
      </c>
      <c r="R10" s="32"/>
      <c r="S10" s="238" t="s">
        <v>159</v>
      </c>
      <c r="T10" s="219"/>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row>
    <row r="11" spans="1:16348" ht="15.75" customHeight="1" thickBot="1" x14ac:dyDescent="0.35">
      <c r="A11" s="13"/>
      <c r="B11" s="30"/>
      <c r="C11" s="55" t="s">
        <v>6</v>
      </c>
      <c r="D11" s="79">
        <f>AggPresumptiveP1[[#Totals],[AFB (-)]]</f>
        <v>0</v>
      </c>
      <c r="E11" s="79">
        <f>AggPresumptiveP2[[#Totals],[AFB (-)]]</f>
        <v>0</v>
      </c>
      <c r="F11" s="79">
        <f>AggPresumptiveP3[[#Totals],[AFB (-)]]</f>
        <v>0</v>
      </c>
      <c r="G11" s="79">
        <f>AggPresumptiveP4[[#Totals],[AFB (-)]]</f>
        <v>0</v>
      </c>
      <c r="H11" s="79">
        <f>AggPresumptiveP5[[#Totals],[AFB (-)]]</f>
        <v>0</v>
      </c>
      <c r="I11" s="481">
        <f>SUM(D11:H11)</f>
        <v>0</v>
      </c>
      <c r="J11" s="12"/>
      <c r="K11" s="48"/>
      <c r="L11" s="54" t="s">
        <v>50</v>
      </c>
      <c r="M11" s="85">
        <f>AggLabP1[[#Totals],[Negative]]</f>
        <v>0</v>
      </c>
      <c r="N11" s="12"/>
      <c r="O11" s="30"/>
      <c r="P11" s="55" t="s">
        <v>6</v>
      </c>
      <c r="Q11" s="92">
        <f>AggTreatmentP1[[#Totals],[Smear Negative (-)]]</f>
        <v>0</v>
      </c>
      <c r="R11" s="32"/>
      <c r="S11" s="237" t="s">
        <v>169</v>
      </c>
      <c r="T11" s="220">
        <f>AggTPTP1[[#Totals],[TPT Completed]]</f>
        <v>0</v>
      </c>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row>
    <row r="12" spans="1:16348" s="102" customFormat="1" ht="16.2" customHeight="1" thickBot="1" x14ac:dyDescent="0.35">
      <c r="A12" s="13"/>
      <c r="B12" s="31"/>
      <c r="C12" s="58" t="s">
        <v>5</v>
      </c>
      <c r="D12" s="77">
        <f>AggPresumptiveP1[[#Totals],[AFB (+)]]</f>
        <v>0</v>
      </c>
      <c r="E12" s="77">
        <f>AggPresumptiveP2[[#Totals],[AFB (+)]]</f>
        <v>0</v>
      </c>
      <c r="F12" s="77">
        <f>AggPresumptiveP3[[#Totals],[AFB (+)]]</f>
        <v>0</v>
      </c>
      <c r="G12" s="77">
        <f>AggPresumptiveP4[[#Totals],[AFB (+)]]</f>
        <v>0</v>
      </c>
      <c r="H12" s="77">
        <f>AggPresumptiveP5[[#Totals],[AFB (+)]]</f>
        <v>0</v>
      </c>
      <c r="I12" s="36">
        <f>SUM(D12:H12)</f>
        <v>0</v>
      </c>
      <c r="J12" s="12"/>
      <c r="K12" s="48" t="s">
        <v>58</v>
      </c>
      <c r="L12" s="54"/>
      <c r="M12" s="85"/>
      <c r="N12" s="12"/>
      <c r="O12" s="66" t="s">
        <v>229</v>
      </c>
      <c r="P12" s="165"/>
      <c r="Q12" s="95"/>
      <c r="R12" s="32"/>
      <c r="S12" s="239" t="s">
        <v>170</v>
      </c>
      <c r="T12" s="221">
        <f>AggTPTP1[[#Totals],[Transferred out]]</f>
        <v>0</v>
      </c>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01"/>
      <c r="AAF12" s="101"/>
      <c r="AAG12" s="101"/>
      <c r="AAH12" s="101"/>
      <c r="AAI12" s="101"/>
      <c r="AAJ12" s="101"/>
      <c r="AAK12" s="101"/>
      <c r="AAL12" s="101"/>
      <c r="AAM12" s="101"/>
      <c r="AAN12" s="101"/>
      <c r="AAO12" s="101"/>
      <c r="AAP12" s="101"/>
      <c r="AAQ12" s="101"/>
      <c r="AAR12" s="101"/>
      <c r="AAS12" s="101"/>
      <c r="AAT12" s="101"/>
      <c r="AAU12" s="101"/>
      <c r="AAV12" s="101"/>
      <c r="AAW12" s="101"/>
      <c r="AAX12" s="101"/>
      <c r="AAY12" s="101"/>
      <c r="AAZ12" s="101"/>
      <c r="ABA12" s="101"/>
      <c r="ABB12" s="101"/>
      <c r="ABC12" s="101"/>
      <c r="ABD12" s="101"/>
      <c r="ABE12" s="101"/>
      <c r="ABF12" s="101"/>
      <c r="ABG12" s="101"/>
      <c r="ABH12" s="101"/>
      <c r="ABI12" s="101"/>
      <c r="ABJ12" s="101"/>
      <c r="ABK12" s="101"/>
      <c r="ABL12" s="101"/>
      <c r="ABM12" s="101"/>
      <c r="ABN12" s="101"/>
      <c r="ABO12" s="101"/>
      <c r="ABP12" s="101"/>
      <c r="ABQ12" s="101"/>
      <c r="ABR12" s="101"/>
      <c r="ABS12" s="101"/>
      <c r="ABT12" s="101"/>
      <c r="ABU12" s="101"/>
      <c r="ABV12" s="101"/>
      <c r="ABW12" s="101"/>
      <c r="ABX12" s="101"/>
      <c r="ABY12" s="101"/>
      <c r="ABZ12" s="101"/>
      <c r="ACA12" s="101"/>
      <c r="ACB12" s="101"/>
      <c r="ACC12" s="101"/>
      <c r="ACD12" s="101"/>
      <c r="ACE12" s="101"/>
      <c r="ACF12" s="101"/>
      <c r="ACG12" s="101"/>
      <c r="ACH12" s="101"/>
      <c r="ACI12" s="101"/>
      <c r="ACJ12" s="101"/>
      <c r="ACK12" s="101"/>
      <c r="ACL12" s="101"/>
      <c r="ACM12" s="101"/>
      <c r="ACN12" s="101"/>
      <c r="ACO12" s="101"/>
      <c r="ACP12" s="101"/>
      <c r="ACQ12" s="101"/>
      <c r="ACR12" s="101"/>
      <c r="ACS12" s="101"/>
      <c r="ACT12" s="101"/>
      <c r="ACU12" s="101"/>
      <c r="ACV12" s="101"/>
      <c r="ACW12" s="101"/>
      <c r="ACX12" s="101"/>
      <c r="ACY12" s="101"/>
      <c r="ACZ12" s="101"/>
      <c r="ADA12" s="101"/>
      <c r="ADB12" s="101"/>
      <c r="ADC12" s="101"/>
      <c r="ADD12" s="101"/>
      <c r="ADE12" s="101"/>
      <c r="ADF12" s="101"/>
      <c r="ADG12" s="101"/>
      <c r="ADH12" s="101"/>
      <c r="ADI12" s="101"/>
      <c r="ADJ12" s="101"/>
      <c r="ADK12" s="101"/>
      <c r="ADL12" s="101"/>
      <c r="ADM12" s="101"/>
      <c r="ADN12" s="101"/>
      <c r="ADO12" s="101"/>
      <c r="ADP12" s="101"/>
      <c r="ADQ12" s="101"/>
      <c r="ADR12" s="101"/>
      <c r="ADS12" s="101"/>
      <c r="ADT12" s="101"/>
      <c r="ADU12" s="101"/>
      <c r="ADV12" s="101"/>
      <c r="ADW12" s="101"/>
      <c r="ADX12" s="101"/>
      <c r="ADY12" s="101"/>
      <c r="ADZ12" s="101"/>
      <c r="AEA12" s="101"/>
      <c r="AEB12" s="101"/>
      <c r="AEC12" s="101"/>
      <c r="AED12" s="101"/>
      <c r="AEE12" s="101"/>
      <c r="AEF12" s="101"/>
      <c r="AEG12" s="101"/>
      <c r="AEH12" s="101"/>
      <c r="AEI12" s="101"/>
      <c r="AEJ12" s="101"/>
      <c r="AEK12" s="101"/>
      <c r="AEL12" s="101"/>
      <c r="AEM12" s="101"/>
      <c r="AEN12" s="101"/>
      <c r="AEO12" s="101"/>
      <c r="AEP12" s="101"/>
      <c r="AEQ12" s="101"/>
      <c r="AER12" s="101"/>
      <c r="AES12" s="101"/>
      <c r="AET12" s="101"/>
      <c r="AEU12" s="101"/>
      <c r="AEV12" s="101"/>
      <c r="AEW12" s="101"/>
      <c r="AEX12" s="101"/>
      <c r="AEY12" s="101"/>
      <c r="AEZ12" s="101"/>
      <c r="AFA12" s="101"/>
      <c r="AFB12" s="101"/>
      <c r="AFC12" s="101"/>
      <c r="AFD12" s="101"/>
      <c r="AFE12" s="101"/>
      <c r="AFF12" s="101"/>
      <c r="AFG12" s="101"/>
      <c r="AFH12" s="101"/>
      <c r="AFI12" s="101"/>
      <c r="AFJ12" s="101"/>
      <c r="AFK12" s="101"/>
      <c r="AFL12" s="101"/>
      <c r="AFM12" s="101"/>
      <c r="AFN12" s="101"/>
      <c r="AFO12" s="101"/>
      <c r="AFP12" s="101"/>
      <c r="AFQ12" s="101"/>
      <c r="AFR12" s="101"/>
      <c r="AFS12" s="101"/>
      <c r="AFT12" s="101"/>
      <c r="AFU12" s="101"/>
      <c r="AFV12" s="101"/>
      <c r="AFW12" s="101"/>
      <c r="AFX12" s="101"/>
      <c r="AFY12" s="101"/>
      <c r="AFZ12" s="101"/>
      <c r="AGA12" s="101"/>
      <c r="AGB12" s="101"/>
      <c r="AGC12" s="101"/>
      <c r="AGD12" s="101"/>
      <c r="AGE12" s="101"/>
      <c r="AGF12" s="101"/>
      <c r="AGG12" s="101"/>
      <c r="AGH12" s="101"/>
      <c r="AGI12" s="101"/>
      <c r="AGJ12" s="101"/>
      <c r="AGK12" s="101"/>
      <c r="AGL12" s="101"/>
      <c r="AGM12" s="101"/>
      <c r="AGN12" s="101"/>
      <c r="AGO12" s="101"/>
      <c r="AGP12" s="101"/>
      <c r="AGQ12" s="101"/>
      <c r="AGR12" s="101"/>
      <c r="AGS12" s="101"/>
      <c r="AGT12" s="101"/>
      <c r="AGU12" s="101"/>
      <c r="AGV12" s="101"/>
      <c r="AGW12" s="101"/>
      <c r="AGX12" s="101"/>
      <c r="AGY12" s="101"/>
      <c r="AGZ12" s="101"/>
      <c r="AHA12" s="101"/>
      <c r="AHB12" s="101"/>
      <c r="AHC12" s="101"/>
      <c r="AHD12" s="101"/>
      <c r="AHE12" s="101"/>
      <c r="AHF12" s="101"/>
      <c r="AHG12" s="101"/>
      <c r="AHH12" s="101"/>
      <c r="AHI12" s="101"/>
      <c r="AHJ12" s="101"/>
      <c r="AHK12" s="101"/>
      <c r="AHL12" s="101"/>
      <c r="AHM12" s="101"/>
      <c r="AHN12" s="101"/>
      <c r="AHO12" s="101"/>
      <c r="AHP12" s="101"/>
      <c r="AHQ12" s="101"/>
      <c r="AHR12" s="101"/>
      <c r="AHS12" s="101"/>
      <c r="AHT12" s="101"/>
      <c r="AHU12" s="101"/>
      <c r="AHV12" s="101"/>
      <c r="AHW12" s="101"/>
      <c r="AHX12" s="101"/>
      <c r="AHY12" s="101"/>
      <c r="AHZ12" s="101"/>
      <c r="AIA12" s="101"/>
      <c r="AIB12" s="101"/>
      <c r="AIC12" s="101"/>
      <c r="AID12" s="101"/>
      <c r="AIE12" s="101"/>
      <c r="AIF12" s="101"/>
      <c r="AIG12" s="101"/>
      <c r="AIH12" s="101"/>
      <c r="AII12" s="101"/>
      <c r="AIJ12" s="101"/>
      <c r="AIK12" s="101"/>
      <c r="AIL12" s="101"/>
      <c r="AIM12" s="101"/>
      <c r="AIN12" s="101"/>
      <c r="AIO12" s="101"/>
      <c r="AIP12" s="101"/>
      <c r="AIQ12" s="101"/>
      <c r="AIR12" s="101"/>
      <c r="AIS12" s="101"/>
      <c r="AIT12" s="101"/>
      <c r="AIU12" s="101"/>
      <c r="AIV12" s="101"/>
      <c r="AIW12" s="101"/>
      <c r="AIX12" s="101"/>
      <c r="AIY12" s="101"/>
      <c r="AIZ12" s="101"/>
      <c r="AJA12" s="101"/>
      <c r="AJB12" s="101"/>
      <c r="AJC12" s="101"/>
      <c r="AJD12" s="101"/>
      <c r="AJE12" s="101"/>
      <c r="AJF12" s="101"/>
      <c r="AJG12" s="101"/>
      <c r="AJH12" s="101"/>
      <c r="AJI12" s="101"/>
      <c r="AJJ12" s="101"/>
      <c r="AJK12" s="101"/>
      <c r="AJL12" s="101"/>
      <c r="AJM12" s="101"/>
      <c r="AJN12" s="101"/>
      <c r="AJO12" s="101"/>
      <c r="AJP12" s="101"/>
      <c r="AJQ12" s="101"/>
      <c r="AJR12" s="101"/>
      <c r="AJS12" s="101"/>
      <c r="AJT12" s="101"/>
      <c r="AJU12" s="101"/>
      <c r="AJV12" s="101"/>
      <c r="AJW12" s="101"/>
      <c r="AJX12" s="101"/>
      <c r="AJY12" s="101"/>
      <c r="AJZ12" s="101"/>
      <c r="AKA12" s="101"/>
      <c r="AKB12" s="101"/>
      <c r="AKC12" s="101"/>
      <c r="AKD12" s="101"/>
      <c r="AKE12" s="101"/>
      <c r="AKF12" s="101"/>
      <c r="AKG12" s="101"/>
      <c r="AKH12" s="101"/>
      <c r="AKI12" s="101"/>
      <c r="AKJ12" s="101"/>
      <c r="AKK12" s="101"/>
      <c r="AKL12" s="101"/>
      <c r="AKM12" s="101"/>
      <c r="AKN12" s="101"/>
      <c r="AKO12" s="101"/>
      <c r="AKP12" s="101"/>
      <c r="AKQ12" s="101"/>
      <c r="AKR12" s="101"/>
      <c r="AKS12" s="101"/>
      <c r="AKT12" s="101"/>
      <c r="AKU12" s="101"/>
      <c r="AKV12" s="101"/>
      <c r="AKW12" s="101"/>
      <c r="AKX12" s="101"/>
      <c r="AKY12" s="101"/>
      <c r="AKZ12" s="101"/>
      <c r="ALA12" s="101"/>
      <c r="ALB12" s="101"/>
      <c r="ALC12" s="101"/>
      <c r="ALD12" s="101"/>
      <c r="ALE12" s="101"/>
      <c r="ALF12" s="101"/>
      <c r="ALG12" s="101"/>
      <c r="ALH12" s="101"/>
      <c r="ALI12" s="101"/>
      <c r="ALJ12" s="101"/>
      <c r="ALK12" s="101"/>
      <c r="ALL12" s="101"/>
      <c r="ALM12" s="101"/>
      <c r="ALN12" s="101"/>
      <c r="ALO12" s="101"/>
      <c r="ALP12" s="101"/>
      <c r="ALQ12" s="101"/>
      <c r="ALR12" s="101"/>
      <c r="ALS12" s="101"/>
      <c r="ALT12" s="101"/>
      <c r="ALU12" s="101"/>
      <c r="ALV12" s="101"/>
      <c r="ALW12" s="101"/>
      <c r="ALX12" s="101"/>
      <c r="ALY12" s="101"/>
      <c r="ALZ12" s="101"/>
      <c r="AMA12" s="101"/>
      <c r="AMB12" s="101"/>
      <c r="AMC12" s="101"/>
      <c r="AMD12" s="101"/>
      <c r="AME12" s="101"/>
      <c r="AMF12" s="101"/>
      <c r="AMG12" s="101"/>
      <c r="AMH12" s="101"/>
      <c r="AMI12" s="101"/>
      <c r="AMJ12" s="101"/>
      <c r="AMK12" s="101"/>
      <c r="AML12" s="101"/>
      <c r="AMM12" s="101"/>
      <c r="AMN12" s="101"/>
      <c r="AMO12" s="101"/>
      <c r="AMP12" s="101"/>
      <c r="AMQ12" s="101"/>
      <c r="AMR12" s="101"/>
      <c r="AMS12" s="101"/>
      <c r="AMT12" s="101"/>
      <c r="AMU12" s="101"/>
      <c r="AMV12" s="101"/>
      <c r="AMW12" s="101"/>
      <c r="AMX12" s="101"/>
      <c r="AMY12" s="101"/>
      <c r="AMZ12" s="101"/>
      <c r="ANA12" s="101"/>
      <c r="ANB12" s="101"/>
      <c r="ANC12" s="101"/>
      <c r="AND12" s="101"/>
      <c r="ANE12" s="101"/>
      <c r="ANF12" s="101"/>
      <c r="ANG12" s="101"/>
      <c r="ANH12" s="101"/>
      <c r="ANI12" s="101"/>
      <c r="ANJ12" s="101"/>
      <c r="ANK12" s="101"/>
      <c r="ANL12" s="101"/>
      <c r="ANM12" s="101"/>
      <c r="ANN12" s="101"/>
      <c r="ANO12" s="101"/>
      <c r="ANP12" s="101"/>
      <c r="ANQ12" s="101"/>
      <c r="ANR12" s="101"/>
      <c r="ANS12" s="101"/>
      <c r="ANT12" s="101"/>
      <c r="ANU12" s="101"/>
      <c r="ANV12" s="101"/>
      <c r="ANW12" s="101"/>
      <c r="ANX12" s="101"/>
      <c r="ANY12" s="101"/>
      <c r="ANZ12" s="101"/>
      <c r="AOA12" s="101"/>
      <c r="AOB12" s="101"/>
      <c r="AOC12" s="101"/>
      <c r="AOD12" s="101"/>
      <c r="AOE12" s="101"/>
      <c r="AOF12" s="101"/>
      <c r="AOG12" s="101"/>
      <c r="AOH12" s="101"/>
      <c r="AOI12" s="101"/>
      <c r="AOJ12" s="101"/>
      <c r="AOK12" s="101"/>
      <c r="AOL12" s="101"/>
      <c r="AOM12" s="101"/>
      <c r="AON12" s="101"/>
      <c r="AOO12" s="101"/>
      <c r="AOP12" s="101"/>
      <c r="AOQ12" s="101"/>
      <c r="AOR12" s="101"/>
      <c r="AOS12" s="101"/>
      <c r="AOT12" s="101"/>
      <c r="AOU12" s="101"/>
      <c r="AOV12" s="101"/>
      <c r="AOW12" s="101"/>
      <c r="AOX12" s="101"/>
      <c r="AOY12" s="101"/>
      <c r="AOZ12" s="101"/>
      <c r="APA12" s="101"/>
      <c r="APB12" s="101"/>
      <c r="APC12" s="101"/>
      <c r="APD12" s="101"/>
      <c r="APE12" s="101"/>
      <c r="APF12" s="101"/>
      <c r="APG12" s="101"/>
      <c r="APH12" s="101"/>
      <c r="API12" s="101"/>
      <c r="APJ12" s="101"/>
      <c r="APK12" s="101"/>
      <c r="APL12" s="101"/>
      <c r="APM12" s="101"/>
      <c r="APN12" s="101"/>
      <c r="APO12" s="101"/>
      <c r="APP12" s="101"/>
      <c r="APQ12" s="101"/>
      <c r="APR12" s="101"/>
      <c r="APS12" s="101"/>
      <c r="APT12" s="101"/>
      <c r="APU12" s="101"/>
      <c r="APV12" s="101"/>
      <c r="APW12" s="101"/>
      <c r="APX12" s="101"/>
      <c r="APY12" s="101"/>
      <c r="APZ12" s="101"/>
      <c r="AQA12" s="101"/>
      <c r="AQB12" s="101"/>
      <c r="AQC12" s="101"/>
      <c r="AQD12" s="101"/>
      <c r="AQE12" s="101"/>
      <c r="AQF12" s="101"/>
      <c r="AQG12" s="101"/>
      <c r="AQH12" s="101"/>
      <c r="AQI12" s="101"/>
      <c r="AQJ12" s="101"/>
      <c r="AQK12" s="101"/>
      <c r="AQL12" s="101"/>
      <c r="AQM12" s="101"/>
      <c r="AQN12" s="101"/>
      <c r="AQO12" s="101"/>
      <c r="AQP12" s="101"/>
      <c r="AQQ12" s="101"/>
      <c r="AQR12" s="101"/>
      <c r="AQS12" s="101"/>
      <c r="AQT12" s="101"/>
      <c r="AQU12" s="101"/>
      <c r="AQV12" s="101"/>
      <c r="AQW12" s="101"/>
      <c r="AQX12" s="101"/>
      <c r="AQY12" s="101"/>
      <c r="AQZ12" s="101"/>
      <c r="ARA12" s="101"/>
      <c r="ARB12" s="101"/>
      <c r="ARC12" s="101"/>
      <c r="ARD12" s="101"/>
      <c r="ARE12" s="101"/>
      <c r="ARF12" s="101"/>
      <c r="ARG12" s="101"/>
      <c r="ARH12" s="101"/>
      <c r="ARI12" s="101"/>
      <c r="ARJ12" s="101"/>
      <c r="ARK12" s="101"/>
      <c r="ARL12" s="101"/>
      <c r="ARM12" s="101"/>
      <c r="ARN12" s="101"/>
      <c r="ARO12" s="101"/>
      <c r="ARP12" s="101"/>
      <c r="ARQ12" s="101"/>
      <c r="ARR12" s="101"/>
      <c r="ARS12" s="101"/>
      <c r="ART12" s="101"/>
      <c r="ARU12" s="101"/>
      <c r="ARV12" s="101"/>
      <c r="ARW12" s="101"/>
      <c r="ARX12" s="101"/>
      <c r="ARY12" s="101"/>
      <c r="ARZ12" s="101"/>
      <c r="ASA12" s="101"/>
      <c r="ASB12" s="101"/>
      <c r="ASC12" s="101"/>
      <c r="ASD12" s="101"/>
      <c r="ASE12" s="101"/>
      <c r="ASF12" s="101"/>
      <c r="ASG12" s="101"/>
      <c r="ASH12" s="101"/>
      <c r="ASI12" s="101"/>
      <c r="ASJ12" s="101"/>
      <c r="ASK12" s="101"/>
      <c r="ASL12" s="101"/>
      <c r="ASM12" s="101"/>
      <c r="ASN12" s="101"/>
      <c r="ASO12" s="101"/>
      <c r="ASP12" s="101"/>
      <c r="ASQ12" s="101"/>
      <c r="ASR12" s="101"/>
      <c r="ASS12" s="101"/>
      <c r="AST12" s="101"/>
      <c r="ASU12" s="101"/>
      <c r="ASV12" s="101"/>
      <c r="ASW12" s="101"/>
      <c r="ASX12" s="101"/>
      <c r="ASY12" s="101"/>
      <c r="ASZ12" s="101"/>
      <c r="ATA12" s="101"/>
      <c r="ATB12" s="101"/>
      <c r="ATC12" s="101"/>
      <c r="ATD12" s="101"/>
      <c r="ATE12" s="101"/>
      <c r="ATF12" s="101"/>
      <c r="ATG12" s="101"/>
      <c r="ATH12" s="101"/>
      <c r="ATI12" s="101"/>
      <c r="ATJ12" s="101"/>
      <c r="ATK12" s="101"/>
      <c r="ATL12" s="101"/>
      <c r="ATM12" s="101"/>
      <c r="ATN12" s="101"/>
      <c r="ATO12" s="101"/>
      <c r="ATP12" s="101"/>
      <c r="ATQ12" s="101"/>
      <c r="ATR12" s="101"/>
      <c r="ATS12" s="101"/>
      <c r="ATT12" s="101"/>
      <c r="ATU12" s="101"/>
      <c r="ATV12" s="101"/>
      <c r="ATW12" s="101"/>
      <c r="ATX12" s="101"/>
      <c r="ATY12" s="101"/>
      <c r="ATZ12" s="101"/>
      <c r="AUA12" s="101"/>
      <c r="AUB12" s="101"/>
      <c r="AUC12" s="101"/>
      <c r="AUD12" s="101"/>
      <c r="AUE12" s="101"/>
      <c r="AUF12" s="101"/>
      <c r="AUG12" s="101"/>
      <c r="AUH12" s="101"/>
      <c r="AUI12" s="101"/>
      <c r="AUJ12" s="101"/>
      <c r="AUK12" s="101"/>
      <c r="AUL12" s="101"/>
      <c r="AUM12" s="101"/>
      <c r="AUN12" s="101"/>
      <c r="AUO12" s="101"/>
      <c r="AUP12" s="101"/>
      <c r="AUQ12" s="101"/>
      <c r="AUR12" s="101"/>
      <c r="AUS12" s="101"/>
      <c r="AUT12" s="101"/>
      <c r="AUU12" s="101"/>
      <c r="AUV12" s="101"/>
      <c r="AUW12" s="101"/>
      <c r="AUX12" s="101"/>
      <c r="AUY12" s="101"/>
      <c r="AUZ12" s="101"/>
      <c r="AVA12" s="101"/>
      <c r="AVB12" s="101"/>
      <c r="AVC12" s="101"/>
      <c r="AVD12" s="101"/>
      <c r="AVE12" s="101"/>
      <c r="AVF12" s="101"/>
      <c r="AVG12" s="101"/>
      <c r="AVH12" s="101"/>
      <c r="AVI12" s="101"/>
      <c r="AVJ12" s="101"/>
      <c r="AVK12" s="101"/>
      <c r="AVL12" s="101"/>
      <c r="AVM12" s="101"/>
      <c r="AVN12" s="101"/>
      <c r="AVO12" s="101"/>
      <c r="AVP12" s="101"/>
      <c r="AVQ12" s="101"/>
      <c r="AVR12" s="101"/>
      <c r="AVS12" s="101"/>
      <c r="AVT12" s="101"/>
      <c r="AVU12" s="101"/>
      <c r="AVV12" s="101"/>
      <c r="AVW12" s="101"/>
      <c r="AVX12" s="101"/>
      <c r="AVY12" s="101"/>
      <c r="AVZ12" s="101"/>
      <c r="AWA12" s="101"/>
      <c r="AWB12" s="101"/>
      <c r="AWC12" s="101"/>
      <c r="AWD12" s="101"/>
      <c r="AWE12" s="101"/>
      <c r="AWF12" s="101"/>
      <c r="AWG12" s="101"/>
      <c r="AWH12" s="101"/>
      <c r="AWI12" s="101"/>
      <c r="AWJ12" s="101"/>
      <c r="AWK12" s="101"/>
      <c r="AWL12" s="101"/>
      <c r="AWM12" s="101"/>
      <c r="AWN12" s="101"/>
      <c r="AWO12" s="101"/>
      <c r="AWP12" s="101"/>
      <c r="AWQ12" s="101"/>
      <c r="AWR12" s="101"/>
      <c r="AWS12" s="101"/>
      <c r="AWT12" s="101"/>
      <c r="AWU12" s="101"/>
      <c r="AWV12" s="101"/>
      <c r="AWW12" s="101"/>
      <c r="AWX12" s="101"/>
      <c r="AWY12" s="101"/>
      <c r="AWZ12" s="101"/>
      <c r="AXA12" s="101"/>
      <c r="AXB12" s="101"/>
      <c r="AXC12" s="101"/>
      <c r="AXD12" s="101"/>
      <c r="AXE12" s="101"/>
      <c r="AXF12" s="101"/>
      <c r="AXG12" s="101"/>
      <c r="AXH12" s="101"/>
      <c r="AXI12" s="101"/>
      <c r="AXJ12" s="101"/>
      <c r="AXK12" s="101"/>
      <c r="AXL12" s="101"/>
      <c r="AXM12" s="101"/>
      <c r="AXN12" s="101"/>
      <c r="AXO12" s="101"/>
      <c r="AXP12" s="101"/>
      <c r="AXQ12" s="101"/>
      <c r="AXR12" s="101"/>
      <c r="AXS12" s="101"/>
      <c r="AXT12" s="101"/>
      <c r="AXU12" s="101"/>
      <c r="AXV12" s="101"/>
      <c r="AXW12" s="101"/>
      <c r="AXX12" s="101"/>
      <c r="AXY12" s="101"/>
      <c r="AXZ12" s="101"/>
      <c r="AYA12" s="101"/>
      <c r="AYB12" s="101"/>
      <c r="AYC12" s="101"/>
      <c r="AYD12" s="101"/>
      <c r="AYE12" s="101"/>
      <c r="AYF12" s="101"/>
      <c r="AYG12" s="101"/>
      <c r="AYH12" s="101"/>
      <c r="AYI12" s="101"/>
      <c r="AYJ12" s="101"/>
      <c r="AYK12" s="101"/>
      <c r="AYL12" s="101"/>
      <c r="AYM12" s="101"/>
      <c r="AYN12" s="101"/>
      <c r="AYO12" s="101"/>
      <c r="AYP12" s="101"/>
      <c r="AYQ12" s="101"/>
      <c r="AYR12" s="101"/>
      <c r="AYS12" s="101"/>
      <c r="AYT12" s="101"/>
      <c r="AYU12" s="101"/>
      <c r="AYV12" s="101"/>
      <c r="AYW12" s="101"/>
      <c r="AYX12" s="101"/>
      <c r="AYY12" s="101"/>
      <c r="AYZ12" s="101"/>
      <c r="AZA12" s="101"/>
      <c r="AZB12" s="101"/>
      <c r="AZC12" s="101"/>
      <c r="AZD12" s="101"/>
      <c r="AZE12" s="101"/>
      <c r="AZF12" s="101"/>
      <c r="AZG12" s="101"/>
      <c r="AZH12" s="101"/>
      <c r="AZI12" s="101"/>
      <c r="AZJ12" s="101"/>
      <c r="AZK12" s="101"/>
      <c r="AZL12" s="101"/>
      <c r="AZM12" s="101"/>
      <c r="AZN12" s="101"/>
      <c r="AZO12" s="101"/>
      <c r="AZP12" s="101"/>
      <c r="AZQ12" s="101"/>
      <c r="AZR12" s="101"/>
      <c r="AZS12" s="101"/>
      <c r="AZT12" s="101"/>
      <c r="AZU12" s="101"/>
      <c r="AZV12" s="101"/>
      <c r="AZW12" s="101"/>
      <c r="AZX12" s="101"/>
      <c r="AZY12" s="101"/>
      <c r="AZZ12" s="101"/>
      <c r="BAA12" s="101"/>
      <c r="BAB12" s="101"/>
      <c r="BAC12" s="101"/>
      <c r="BAD12" s="101"/>
      <c r="BAE12" s="101"/>
      <c r="BAF12" s="101"/>
      <c r="BAG12" s="101"/>
      <c r="BAH12" s="101"/>
      <c r="BAI12" s="101"/>
      <c r="BAJ12" s="101"/>
      <c r="BAK12" s="101"/>
      <c r="BAL12" s="101"/>
      <c r="BAM12" s="101"/>
      <c r="BAN12" s="101"/>
      <c r="BAO12" s="101"/>
      <c r="BAP12" s="101"/>
      <c r="BAQ12" s="101"/>
      <c r="BAR12" s="101"/>
      <c r="BAS12" s="101"/>
      <c r="BAT12" s="101"/>
      <c r="BAU12" s="101"/>
      <c r="BAV12" s="101"/>
      <c r="BAW12" s="101"/>
      <c r="BAX12" s="101"/>
      <c r="BAY12" s="101"/>
      <c r="BAZ12" s="101"/>
      <c r="BBA12" s="101"/>
      <c r="BBB12" s="101"/>
      <c r="BBC12" s="101"/>
      <c r="BBD12" s="101"/>
      <c r="BBE12" s="101"/>
      <c r="BBF12" s="101"/>
      <c r="BBG12" s="101"/>
      <c r="BBH12" s="101"/>
      <c r="BBI12" s="101"/>
      <c r="BBJ12" s="101"/>
      <c r="BBK12" s="101"/>
      <c r="BBL12" s="101"/>
      <c r="BBM12" s="101"/>
      <c r="BBN12" s="101"/>
      <c r="BBO12" s="101"/>
      <c r="BBP12" s="101"/>
      <c r="BBQ12" s="101"/>
      <c r="BBR12" s="101"/>
      <c r="BBS12" s="101"/>
      <c r="BBT12" s="101"/>
      <c r="BBU12" s="101"/>
      <c r="BBV12" s="101"/>
      <c r="BBW12" s="101"/>
      <c r="BBX12" s="101"/>
      <c r="BBY12" s="101"/>
      <c r="BBZ12" s="101"/>
      <c r="BCA12" s="101"/>
      <c r="BCB12" s="101"/>
      <c r="BCC12" s="101"/>
      <c r="BCD12" s="101"/>
      <c r="BCE12" s="101"/>
      <c r="BCF12" s="101"/>
      <c r="BCG12" s="101"/>
      <c r="BCH12" s="101"/>
      <c r="BCI12" s="101"/>
      <c r="BCJ12" s="101"/>
      <c r="BCK12" s="101"/>
      <c r="BCL12" s="101"/>
      <c r="BCM12" s="101"/>
      <c r="BCN12" s="101"/>
      <c r="BCO12" s="101"/>
      <c r="BCP12" s="101"/>
      <c r="BCQ12" s="101"/>
      <c r="BCR12" s="101"/>
      <c r="BCS12" s="101"/>
      <c r="BCT12" s="101"/>
      <c r="BCU12" s="101"/>
      <c r="BCV12" s="101"/>
      <c r="BCW12" s="101"/>
      <c r="BCX12" s="101"/>
      <c r="BCY12" s="101"/>
      <c r="BCZ12" s="101"/>
      <c r="BDA12" s="101"/>
      <c r="BDB12" s="101"/>
      <c r="BDC12" s="101"/>
      <c r="BDD12" s="101"/>
      <c r="BDE12" s="101"/>
      <c r="BDF12" s="101"/>
      <c r="BDG12" s="101"/>
      <c r="BDH12" s="101"/>
      <c r="BDI12" s="101"/>
      <c r="BDJ12" s="101"/>
      <c r="BDK12" s="101"/>
      <c r="BDL12" s="101"/>
      <c r="BDM12" s="101"/>
      <c r="BDN12" s="101"/>
      <c r="BDO12" s="101"/>
      <c r="BDP12" s="101"/>
      <c r="BDQ12" s="101"/>
      <c r="BDR12" s="101"/>
      <c r="BDS12" s="101"/>
      <c r="BDT12" s="101"/>
      <c r="BDU12" s="101"/>
      <c r="BDV12" s="101"/>
      <c r="BDW12" s="101"/>
      <c r="BDX12" s="101"/>
      <c r="BDY12" s="101"/>
      <c r="BDZ12" s="101"/>
      <c r="BEA12" s="101"/>
      <c r="BEB12" s="101"/>
      <c r="BEC12" s="101"/>
      <c r="BED12" s="101"/>
      <c r="BEE12" s="101"/>
      <c r="BEF12" s="101"/>
      <c r="BEG12" s="101"/>
      <c r="BEH12" s="101"/>
      <c r="BEI12" s="101"/>
      <c r="BEJ12" s="101"/>
      <c r="BEK12" s="101"/>
      <c r="BEL12" s="101"/>
      <c r="BEM12" s="101"/>
      <c r="BEN12" s="101"/>
      <c r="BEO12" s="101"/>
      <c r="BEP12" s="101"/>
      <c r="BEQ12" s="101"/>
      <c r="BER12" s="101"/>
      <c r="BES12" s="101"/>
      <c r="BET12" s="101"/>
      <c r="BEU12" s="101"/>
      <c r="BEV12" s="101"/>
      <c r="BEW12" s="101"/>
      <c r="BEX12" s="101"/>
      <c r="BEY12" s="101"/>
      <c r="BEZ12" s="101"/>
      <c r="BFA12" s="101"/>
      <c r="BFB12" s="101"/>
      <c r="BFC12" s="101"/>
      <c r="BFD12" s="101"/>
      <c r="BFE12" s="101"/>
      <c r="BFF12" s="101"/>
      <c r="BFG12" s="101"/>
      <c r="BFH12" s="101"/>
      <c r="BFI12" s="101"/>
      <c r="BFJ12" s="101"/>
      <c r="BFK12" s="101"/>
      <c r="BFL12" s="101"/>
      <c r="BFM12" s="101"/>
      <c r="BFN12" s="101"/>
      <c r="BFO12" s="101"/>
      <c r="BFP12" s="101"/>
      <c r="BFQ12" s="101"/>
      <c r="BFR12" s="101"/>
      <c r="BFS12" s="101"/>
      <c r="BFT12" s="101"/>
      <c r="BFU12" s="101"/>
      <c r="BFV12" s="101"/>
      <c r="BFW12" s="101"/>
      <c r="BFX12" s="101"/>
      <c r="BFY12" s="101"/>
      <c r="BFZ12" s="101"/>
      <c r="BGA12" s="101"/>
      <c r="BGB12" s="101"/>
      <c r="BGC12" s="101"/>
      <c r="BGD12" s="101"/>
      <c r="BGE12" s="101"/>
      <c r="BGF12" s="101"/>
      <c r="BGG12" s="101"/>
      <c r="BGH12" s="101"/>
      <c r="BGI12" s="101"/>
      <c r="BGJ12" s="101"/>
      <c r="BGK12" s="101"/>
      <c r="BGL12" s="101"/>
      <c r="BGM12" s="101"/>
      <c r="BGN12" s="101"/>
      <c r="BGO12" s="101"/>
      <c r="BGP12" s="101"/>
      <c r="BGQ12" s="101"/>
      <c r="BGR12" s="101"/>
      <c r="BGS12" s="101"/>
      <c r="BGT12" s="101"/>
      <c r="BGU12" s="101"/>
      <c r="BGV12" s="101"/>
      <c r="BGW12" s="101"/>
      <c r="BGX12" s="101"/>
      <c r="BGY12" s="101"/>
      <c r="BGZ12" s="101"/>
      <c r="BHA12" s="101"/>
      <c r="BHB12" s="101"/>
      <c r="BHC12" s="101"/>
      <c r="BHD12" s="101"/>
      <c r="BHE12" s="101"/>
      <c r="BHF12" s="101"/>
      <c r="BHG12" s="101"/>
      <c r="BHH12" s="101"/>
      <c r="BHI12" s="101"/>
      <c r="BHJ12" s="101"/>
      <c r="BHK12" s="101"/>
      <c r="BHL12" s="101"/>
      <c r="BHM12" s="101"/>
      <c r="BHN12" s="101"/>
      <c r="BHO12" s="101"/>
      <c r="BHP12" s="101"/>
      <c r="BHQ12" s="101"/>
      <c r="BHR12" s="101"/>
      <c r="BHS12" s="101"/>
      <c r="BHT12" s="101"/>
      <c r="BHU12" s="101"/>
      <c r="BHV12" s="101"/>
      <c r="BHW12" s="101"/>
      <c r="BHX12" s="101"/>
      <c r="BHY12" s="101"/>
      <c r="BHZ12" s="101"/>
      <c r="BIA12" s="101"/>
      <c r="BIB12" s="101"/>
      <c r="BIC12" s="101"/>
      <c r="BID12" s="101"/>
      <c r="BIE12" s="101"/>
      <c r="BIF12" s="101"/>
      <c r="BIG12" s="101"/>
      <c r="BIH12" s="101"/>
      <c r="BII12" s="101"/>
      <c r="BIJ12" s="101"/>
      <c r="BIK12" s="101"/>
      <c r="BIL12" s="101"/>
      <c r="BIM12" s="101"/>
      <c r="BIN12" s="101"/>
      <c r="BIO12" s="101"/>
      <c r="BIP12" s="101"/>
      <c r="BIQ12" s="101"/>
      <c r="BIR12" s="101"/>
      <c r="BIS12" s="101"/>
      <c r="BIT12" s="101"/>
      <c r="BIU12" s="101"/>
      <c r="BIV12" s="101"/>
      <c r="BIW12" s="101"/>
      <c r="BIX12" s="101"/>
      <c r="BIY12" s="101"/>
      <c r="BIZ12" s="101"/>
      <c r="BJA12" s="101"/>
      <c r="BJB12" s="101"/>
      <c r="BJC12" s="101"/>
      <c r="BJD12" s="101"/>
      <c r="BJE12" s="101"/>
      <c r="BJF12" s="101"/>
      <c r="BJG12" s="101"/>
      <c r="BJH12" s="101"/>
      <c r="BJI12" s="101"/>
      <c r="BJJ12" s="101"/>
      <c r="BJK12" s="101"/>
      <c r="BJL12" s="101"/>
      <c r="BJM12" s="101"/>
      <c r="BJN12" s="101"/>
      <c r="BJO12" s="101"/>
      <c r="BJP12" s="101"/>
      <c r="BJQ12" s="101"/>
      <c r="BJR12" s="101"/>
      <c r="BJS12" s="101"/>
      <c r="BJT12" s="101"/>
      <c r="BJU12" s="101"/>
      <c r="BJV12" s="101"/>
      <c r="BJW12" s="101"/>
      <c r="BJX12" s="101"/>
      <c r="BJY12" s="101"/>
      <c r="BJZ12" s="101"/>
      <c r="BKA12" s="101"/>
      <c r="BKB12" s="101"/>
      <c r="BKC12" s="101"/>
      <c r="BKD12" s="101"/>
      <c r="BKE12" s="101"/>
      <c r="BKF12" s="101"/>
      <c r="BKG12" s="101"/>
      <c r="BKH12" s="101"/>
      <c r="BKI12" s="101"/>
      <c r="BKJ12" s="101"/>
      <c r="BKK12" s="101"/>
      <c r="BKL12" s="101"/>
      <c r="BKM12" s="101"/>
      <c r="BKN12" s="101"/>
      <c r="BKO12" s="101"/>
      <c r="BKP12" s="101"/>
      <c r="BKQ12" s="101"/>
      <c r="BKR12" s="101"/>
      <c r="BKS12" s="101"/>
      <c r="BKT12" s="101"/>
      <c r="BKU12" s="101"/>
      <c r="BKV12" s="101"/>
      <c r="BKW12" s="101"/>
      <c r="BKX12" s="101"/>
      <c r="BKY12" s="101"/>
      <c r="BKZ12" s="101"/>
      <c r="BLA12" s="101"/>
      <c r="BLB12" s="101"/>
      <c r="BLC12" s="101"/>
      <c r="BLD12" s="101"/>
      <c r="BLE12" s="101"/>
      <c r="BLF12" s="101"/>
      <c r="BLG12" s="101"/>
      <c r="BLH12" s="101"/>
      <c r="BLI12" s="101"/>
      <c r="BLJ12" s="101"/>
      <c r="BLK12" s="101"/>
      <c r="BLL12" s="101"/>
      <c r="BLM12" s="101"/>
      <c r="BLN12" s="101"/>
      <c r="BLO12" s="101"/>
      <c r="BLP12" s="101"/>
      <c r="BLQ12" s="101"/>
      <c r="BLR12" s="101"/>
      <c r="BLS12" s="101"/>
      <c r="BLT12" s="101"/>
      <c r="BLU12" s="101"/>
      <c r="BLV12" s="101"/>
      <c r="BLW12" s="101"/>
      <c r="BLX12" s="101"/>
      <c r="BLY12" s="101"/>
      <c r="BLZ12" s="101"/>
      <c r="BMA12" s="101"/>
      <c r="BMB12" s="101"/>
      <c r="BMC12" s="101"/>
      <c r="BMD12" s="101"/>
      <c r="BME12" s="101"/>
      <c r="BMF12" s="101"/>
      <c r="BMG12" s="101"/>
      <c r="BMH12" s="101"/>
      <c r="BMI12" s="101"/>
      <c r="BMJ12" s="101"/>
      <c r="BMK12" s="101"/>
      <c r="BML12" s="101"/>
      <c r="BMM12" s="101"/>
      <c r="BMN12" s="101"/>
      <c r="BMO12" s="101"/>
      <c r="BMP12" s="101"/>
      <c r="BMQ12" s="101"/>
      <c r="BMR12" s="101"/>
      <c r="BMS12" s="101"/>
      <c r="BMT12" s="101"/>
      <c r="BMU12" s="101"/>
      <c r="BMV12" s="101"/>
      <c r="BMW12" s="101"/>
      <c r="BMX12" s="101"/>
      <c r="BMY12" s="101"/>
      <c r="BMZ12" s="101"/>
      <c r="BNA12" s="101"/>
      <c r="BNB12" s="101"/>
      <c r="BNC12" s="101"/>
      <c r="BND12" s="101"/>
      <c r="BNE12" s="101"/>
      <c r="BNF12" s="101"/>
      <c r="BNG12" s="101"/>
      <c r="BNH12" s="101"/>
      <c r="BNI12" s="101"/>
      <c r="BNJ12" s="101"/>
      <c r="BNK12" s="101"/>
      <c r="BNL12" s="101"/>
      <c r="BNM12" s="101"/>
      <c r="BNN12" s="101"/>
      <c r="BNO12" s="101"/>
      <c r="BNP12" s="101"/>
      <c r="BNQ12" s="101"/>
      <c r="BNR12" s="101"/>
      <c r="BNS12" s="101"/>
      <c r="BNT12" s="101"/>
      <c r="BNU12" s="101"/>
      <c r="BNV12" s="101"/>
      <c r="BNW12" s="101"/>
      <c r="BNX12" s="101"/>
      <c r="BNY12" s="101"/>
      <c r="BNZ12" s="101"/>
      <c r="BOA12" s="101"/>
      <c r="BOB12" s="101"/>
      <c r="BOC12" s="101"/>
      <c r="BOD12" s="101"/>
      <c r="BOE12" s="101"/>
      <c r="BOF12" s="101"/>
      <c r="BOG12" s="101"/>
      <c r="BOH12" s="101"/>
      <c r="BOI12" s="101"/>
      <c r="BOJ12" s="101"/>
      <c r="BOK12" s="101"/>
      <c r="BOL12" s="101"/>
      <c r="BOM12" s="101"/>
      <c r="BON12" s="101"/>
      <c r="BOO12" s="101"/>
      <c r="BOP12" s="101"/>
      <c r="BOQ12" s="101"/>
      <c r="BOR12" s="101"/>
      <c r="BOS12" s="101"/>
      <c r="BOT12" s="101"/>
      <c r="BOU12" s="101"/>
      <c r="BOV12" s="101"/>
      <c r="BOW12" s="101"/>
      <c r="BOX12" s="101"/>
      <c r="BOY12" s="101"/>
      <c r="BOZ12" s="101"/>
      <c r="BPA12" s="101"/>
      <c r="BPB12" s="101"/>
      <c r="BPC12" s="101"/>
      <c r="BPD12" s="101"/>
      <c r="BPE12" s="101"/>
      <c r="BPF12" s="101"/>
      <c r="BPG12" s="101"/>
      <c r="BPH12" s="101"/>
      <c r="BPI12" s="101"/>
      <c r="BPJ12" s="101"/>
      <c r="BPK12" s="101"/>
      <c r="BPL12" s="101"/>
      <c r="BPM12" s="101"/>
      <c r="BPN12" s="101"/>
      <c r="BPO12" s="101"/>
      <c r="BPP12" s="101"/>
      <c r="BPQ12" s="101"/>
      <c r="BPR12" s="101"/>
      <c r="BPS12" s="101"/>
      <c r="BPT12" s="101"/>
      <c r="BPU12" s="101"/>
      <c r="BPV12" s="101"/>
      <c r="BPW12" s="101"/>
      <c r="BPX12" s="101"/>
      <c r="BPY12" s="101"/>
      <c r="BPZ12" s="101"/>
      <c r="BQA12" s="101"/>
      <c r="BQB12" s="101"/>
      <c r="BQC12" s="101"/>
      <c r="BQD12" s="101"/>
      <c r="BQE12" s="101"/>
      <c r="BQF12" s="101"/>
      <c r="BQG12" s="101"/>
      <c r="BQH12" s="101"/>
      <c r="BQI12" s="101"/>
      <c r="BQJ12" s="101"/>
      <c r="BQK12" s="101"/>
      <c r="BQL12" s="101"/>
      <c r="BQM12" s="101"/>
      <c r="BQN12" s="101"/>
      <c r="BQO12" s="101"/>
      <c r="BQP12" s="101"/>
      <c r="BQQ12" s="101"/>
      <c r="BQR12" s="101"/>
      <c r="BQS12" s="101"/>
      <c r="BQT12" s="101"/>
      <c r="BQU12" s="101"/>
      <c r="BQV12" s="101"/>
      <c r="BQW12" s="101"/>
      <c r="BQX12" s="101"/>
      <c r="BQY12" s="101"/>
      <c r="BQZ12" s="101"/>
      <c r="BRA12" s="101"/>
      <c r="BRB12" s="101"/>
      <c r="BRC12" s="101"/>
      <c r="BRD12" s="101"/>
      <c r="BRE12" s="101"/>
      <c r="BRF12" s="101"/>
      <c r="BRG12" s="101"/>
      <c r="BRH12" s="101"/>
      <c r="BRI12" s="101"/>
      <c r="BRJ12" s="101"/>
      <c r="BRK12" s="101"/>
      <c r="BRL12" s="101"/>
      <c r="BRM12" s="101"/>
      <c r="BRN12" s="101"/>
      <c r="BRO12" s="101"/>
      <c r="BRP12" s="101"/>
      <c r="BRQ12" s="101"/>
      <c r="BRR12" s="101"/>
      <c r="BRS12" s="101"/>
      <c r="BRT12" s="101"/>
      <c r="BRU12" s="101"/>
      <c r="BRV12" s="101"/>
      <c r="BRW12" s="101"/>
      <c r="BRX12" s="101"/>
      <c r="BRY12" s="101"/>
      <c r="BRZ12" s="101"/>
      <c r="BSA12" s="101"/>
      <c r="BSB12" s="101"/>
      <c r="BSC12" s="101"/>
      <c r="BSD12" s="101"/>
      <c r="BSE12" s="101"/>
      <c r="BSF12" s="101"/>
      <c r="BSG12" s="101"/>
      <c r="BSH12" s="101"/>
      <c r="BSI12" s="101"/>
      <c r="BSJ12" s="101"/>
      <c r="BSK12" s="101"/>
      <c r="BSL12" s="101"/>
      <c r="BSM12" s="101"/>
      <c r="BSN12" s="101"/>
      <c r="BSO12" s="101"/>
      <c r="BSP12" s="101"/>
      <c r="BSQ12" s="101"/>
      <c r="BSR12" s="101"/>
      <c r="BSS12" s="101"/>
      <c r="BST12" s="101"/>
      <c r="BSU12" s="101"/>
      <c r="BSV12" s="101"/>
      <c r="BSW12" s="101"/>
      <c r="BSX12" s="101"/>
      <c r="BSY12" s="101"/>
      <c r="BSZ12" s="101"/>
      <c r="BTA12" s="101"/>
      <c r="BTB12" s="101"/>
      <c r="BTC12" s="101"/>
      <c r="BTD12" s="101"/>
      <c r="BTE12" s="101"/>
      <c r="BTF12" s="101"/>
      <c r="BTG12" s="101"/>
      <c r="BTH12" s="101"/>
      <c r="BTI12" s="101"/>
      <c r="BTJ12" s="101"/>
      <c r="BTK12" s="101"/>
      <c r="BTL12" s="101"/>
      <c r="BTM12" s="101"/>
      <c r="BTN12" s="101"/>
      <c r="BTO12" s="101"/>
      <c r="BTP12" s="101"/>
      <c r="BTQ12" s="101"/>
      <c r="BTR12" s="101"/>
      <c r="BTS12" s="101"/>
      <c r="BTT12" s="101"/>
      <c r="BTU12" s="101"/>
      <c r="BTV12" s="101"/>
      <c r="BTW12" s="101"/>
      <c r="BTX12" s="101"/>
      <c r="BTY12" s="101"/>
      <c r="BTZ12" s="101"/>
      <c r="BUA12" s="101"/>
      <c r="BUB12" s="101"/>
      <c r="BUC12" s="101"/>
      <c r="BUD12" s="101"/>
      <c r="BUE12" s="101"/>
      <c r="BUF12" s="101"/>
      <c r="BUG12" s="101"/>
      <c r="BUH12" s="101"/>
      <c r="BUI12" s="101"/>
      <c r="BUJ12" s="101"/>
      <c r="BUK12" s="101"/>
      <c r="BUL12" s="101"/>
      <c r="BUM12" s="101"/>
      <c r="BUN12" s="101"/>
      <c r="BUO12" s="101"/>
      <c r="BUP12" s="101"/>
      <c r="BUQ12" s="101"/>
      <c r="BUR12" s="101"/>
      <c r="BUS12" s="101"/>
      <c r="BUT12" s="101"/>
      <c r="BUU12" s="101"/>
      <c r="BUV12" s="101"/>
      <c r="BUW12" s="101"/>
      <c r="BUX12" s="101"/>
      <c r="BUY12" s="101"/>
      <c r="BUZ12" s="101"/>
      <c r="BVA12" s="101"/>
      <c r="BVB12" s="101"/>
      <c r="BVC12" s="101"/>
      <c r="BVD12" s="101"/>
      <c r="BVE12" s="101"/>
      <c r="BVF12" s="101"/>
      <c r="BVG12" s="101"/>
      <c r="BVH12" s="101"/>
      <c r="BVI12" s="101"/>
      <c r="BVJ12" s="101"/>
      <c r="BVK12" s="101"/>
      <c r="BVL12" s="101"/>
      <c r="BVM12" s="101"/>
      <c r="BVN12" s="101"/>
      <c r="BVO12" s="101"/>
      <c r="BVP12" s="101"/>
      <c r="BVQ12" s="101"/>
      <c r="BVR12" s="101"/>
      <c r="BVS12" s="101"/>
      <c r="BVT12" s="101"/>
      <c r="BVU12" s="101"/>
      <c r="BVV12" s="101"/>
      <c r="BVW12" s="101"/>
      <c r="BVX12" s="101"/>
      <c r="BVY12" s="101"/>
      <c r="BVZ12" s="101"/>
      <c r="BWA12" s="101"/>
      <c r="BWB12" s="101"/>
      <c r="BWC12" s="101"/>
      <c r="BWD12" s="101"/>
      <c r="BWE12" s="101"/>
      <c r="BWF12" s="101"/>
      <c r="BWG12" s="101"/>
      <c r="BWH12" s="101"/>
      <c r="BWI12" s="101"/>
      <c r="BWJ12" s="101"/>
      <c r="BWK12" s="101"/>
      <c r="BWL12" s="101"/>
      <c r="BWM12" s="101"/>
      <c r="BWN12" s="101"/>
      <c r="BWO12" s="101"/>
      <c r="BWP12" s="101"/>
      <c r="BWQ12" s="101"/>
      <c r="BWR12" s="101"/>
      <c r="BWS12" s="101"/>
      <c r="BWT12" s="101"/>
      <c r="BWU12" s="101"/>
      <c r="BWV12" s="101"/>
      <c r="BWW12" s="101"/>
      <c r="BWX12" s="101"/>
      <c r="BWY12" s="101"/>
      <c r="BWZ12" s="101"/>
      <c r="BXA12" s="101"/>
      <c r="BXB12" s="101"/>
      <c r="BXC12" s="101"/>
      <c r="BXD12" s="101"/>
      <c r="BXE12" s="101"/>
      <c r="BXF12" s="101"/>
      <c r="BXG12" s="101"/>
      <c r="BXH12" s="101"/>
      <c r="BXI12" s="101"/>
      <c r="BXJ12" s="101"/>
      <c r="BXK12" s="101"/>
      <c r="BXL12" s="101"/>
      <c r="BXM12" s="101"/>
      <c r="BXN12" s="101"/>
      <c r="BXO12" s="101"/>
      <c r="BXP12" s="101"/>
      <c r="BXQ12" s="101"/>
      <c r="BXR12" s="101"/>
      <c r="BXS12" s="101"/>
      <c r="BXT12" s="101"/>
      <c r="BXU12" s="101"/>
      <c r="BXV12" s="101"/>
      <c r="BXW12" s="101"/>
      <c r="BXX12" s="101"/>
      <c r="BXY12" s="101"/>
      <c r="BXZ12" s="101"/>
      <c r="BYA12" s="101"/>
      <c r="BYB12" s="101"/>
      <c r="BYC12" s="101"/>
      <c r="BYD12" s="101"/>
      <c r="BYE12" s="101"/>
      <c r="BYF12" s="101"/>
      <c r="BYG12" s="101"/>
      <c r="BYH12" s="101"/>
      <c r="BYI12" s="101"/>
      <c r="BYJ12" s="101"/>
      <c r="BYK12" s="101"/>
      <c r="BYL12" s="101"/>
      <c r="BYM12" s="101"/>
      <c r="BYN12" s="101"/>
      <c r="BYO12" s="101"/>
      <c r="BYP12" s="101"/>
      <c r="BYQ12" s="101"/>
      <c r="BYR12" s="101"/>
      <c r="BYS12" s="101"/>
      <c r="BYT12" s="101"/>
      <c r="BYU12" s="101"/>
      <c r="BYV12" s="101"/>
      <c r="BYW12" s="101"/>
      <c r="BYX12" s="101"/>
      <c r="BYY12" s="101"/>
      <c r="BYZ12" s="101"/>
      <c r="BZA12" s="101"/>
      <c r="BZB12" s="101"/>
      <c r="BZC12" s="101"/>
      <c r="BZD12" s="101"/>
      <c r="BZE12" s="101"/>
      <c r="BZF12" s="101"/>
      <c r="BZG12" s="101"/>
      <c r="BZH12" s="101"/>
      <c r="BZI12" s="101"/>
      <c r="BZJ12" s="101"/>
      <c r="BZK12" s="101"/>
      <c r="BZL12" s="101"/>
      <c r="BZM12" s="101"/>
      <c r="BZN12" s="101"/>
      <c r="BZO12" s="101"/>
      <c r="BZP12" s="101"/>
      <c r="BZQ12" s="101"/>
      <c r="BZR12" s="101"/>
      <c r="BZS12" s="101"/>
      <c r="BZT12" s="101"/>
      <c r="BZU12" s="101"/>
      <c r="BZV12" s="101"/>
      <c r="BZW12" s="101"/>
      <c r="BZX12" s="101"/>
      <c r="BZY12" s="101"/>
      <c r="BZZ12" s="101"/>
      <c r="CAA12" s="101"/>
      <c r="CAB12" s="101"/>
      <c r="CAC12" s="101"/>
      <c r="CAD12" s="101"/>
      <c r="CAE12" s="101"/>
      <c r="CAF12" s="101"/>
      <c r="CAG12" s="101"/>
      <c r="CAH12" s="101"/>
      <c r="CAI12" s="101"/>
      <c r="CAJ12" s="101"/>
      <c r="CAK12" s="101"/>
      <c r="CAL12" s="101"/>
      <c r="CAM12" s="101"/>
      <c r="CAN12" s="101"/>
      <c r="CAO12" s="101"/>
      <c r="CAP12" s="101"/>
      <c r="CAQ12" s="101"/>
      <c r="CAR12" s="101"/>
      <c r="CAS12" s="101"/>
      <c r="CAT12" s="101"/>
      <c r="CAU12" s="101"/>
      <c r="CAV12" s="101"/>
      <c r="CAW12" s="101"/>
      <c r="CAX12" s="101"/>
      <c r="CAY12" s="101"/>
      <c r="CAZ12" s="101"/>
      <c r="CBA12" s="101"/>
      <c r="CBB12" s="101"/>
      <c r="CBC12" s="101"/>
      <c r="CBD12" s="101"/>
      <c r="CBE12" s="101"/>
      <c r="CBF12" s="101"/>
      <c r="CBG12" s="101"/>
      <c r="CBH12" s="101"/>
      <c r="CBI12" s="101"/>
      <c r="CBJ12" s="101"/>
      <c r="CBK12" s="101"/>
      <c r="CBL12" s="101"/>
      <c r="CBM12" s="101"/>
      <c r="CBN12" s="101"/>
      <c r="CBO12" s="101"/>
      <c r="CBP12" s="101"/>
      <c r="CBQ12" s="101"/>
      <c r="CBR12" s="101"/>
      <c r="CBS12" s="101"/>
      <c r="CBT12" s="101"/>
      <c r="CBU12" s="101"/>
      <c r="CBV12" s="101"/>
      <c r="CBW12" s="101"/>
      <c r="CBX12" s="101"/>
      <c r="CBY12" s="101"/>
      <c r="CBZ12" s="101"/>
      <c r="CCA12" s="101"/>
      <c r="CCB12" s="101"/>
      <c r="CCC12" s="101"/>
      <c r="CCD12" s="101"/>
      <c r="CCE12" s="101"/>
      <c r="CCF12" s="101"/>
      <c r="CCG12" s="101"/>
      <c r="CCH12" s="101"/>
      <c r="CCI12" s="101"/>
      <c r="CCJ12" s="101"/>
      <c r="CCK12" s="101"/>
      <c r="CCL12" s="101"/>
      <c r="CCM12" s="101"/>
      <c r="CCN12" s="101"/>
      <c r="CCO12" s="101"/>
      <c r="CCP12" s="101"/>
      <c r="CCQ12" s="101"/>
      <c r="CCR12" s="101"/>
      <c r="CCS12" s="101"/>
      <c r="CCT12" s="101"/>
      <c r="CCU12" s="101"/>
      <c r="CCV12" s="101"/>
      <c r="CCW12" s="101"/>
      <c r="CCX12" s="101"/>
      <c r="CCY12" s="101"/>
      <c r="CCZ12" s="101"/>
      <c r="CDA12" s="101"/>
      <c r="CDB12" s="101"/>
      <c r="CDC12" s="101"/>
      <c r="CDD12" s="101"/>
      <c r="CDE12" s="101"/>
      <c r="CDF12" s="101"/>
      <c r="CDG12" s="101"/>
      <c r="CDH12" s="101"/>
      <c r="CDI12" s="101"/>
      <c r="CDJ12" s="101"/>
      <c r="CDK12" s="101"/>
      <c r="CDL12" s="101"/>
      <c r="CDM12" s="101"/>
      <c r="CDN12" s="101"/>
      <c r="CDO12" s="101"/>
      <c r="CDP12" s="101"/>
      <c r="CDQ12" s="101"/>
      <c r="CDR12" s="101"/>
      <c r="CDS12" s="101"/>
      <c r="CDT12" s="101"/>
      <c r="CDU12" s="101"/>
      <c r="CDV12" s="101"/>
      <c r="CDW12" s="101"/>
      <c r="CDX12" s="101"/>
      <c r="CDY12" s="101"/>
      <c r="CDZ12" s="101"/>
      <c r="CEA12" s="101"/>
      <c r="CEB12" s="101"/>
      <c r="CEC12" s="101"/>
      <c r="CED12" s="101"/>
      <c r="CEE12" s="101"/>
      <c r="CEF12" s="101"/>
      <c r="CEG12" s="101"/>
      <c r="CEH12" s="101"/>
      <c r="CEI12" s="101"/>
      <c r="CEJ12" s="101"/>
      <c r="CEK12" s="101"/>
      <c r="CEL12" s="101"/>
      <c r="CEM12" s="101"/>
      <c r="CEN12" s="101"/>
      <c r="CEO12" s="101"/>
      <c r="CEP12" s="101"/>
      <c r="CEQ12" s="101"/>
      <c r="CER12" s="101"/>
      <c r="CES12" s="101"/>
      <c r="CET12" s="101"/>
      <c r="CEU12" s="101"/>
      <c r="CEV12" s="101"/>
      <c r="CEW12" s="101"/>
      <c r="CEX12" s="101"/>
      <c r="CEY12" s="101"/>
      <c r="CEZ12" s="101"/>
      <c r="CFA12" s="101"/>
      <c r="CFB12" s="101"/>
      <c r="CFC12" s="101"/>
      <c r="CFD12" s="101"/>
      <c r="CFE12" s="101"/>
      <c r="CFF12" s="101"/>
      <c r="CFG12" s="101"/>
      <c r="CFH12" s="101"/>
      <c r="CFI12" s="101"/>
      <c r="CFJ12" s="101"/>
      <c r="CFK12" s="101"/>
      <c r="CFL12" s="101"/>
      <c r="CFM12" s="101"/>
      <c r="CFN12" s="101"/>
      <c r="CFO12" s="101"/>
      <c r="CFP12" s="101"/>
      <c r="CFQ12" s="101"/>
      <c r="CFR12" s="101"/>
      <c r="CFS12" s="101"/>
      <c r="CFT12" s="101"/>
      <c r="CFU12" s="101"/>
      <c r="CFV12" s="101"/>
      <c r="CFW12" s="101"/>
      <c r="CFX12" s="101"/>
      <c r="CFY12" s="101"/>
      <c r="CFZ12" s="101"/>
      <c r="CGA12" s="101"/>
      <c r="CGB12" s="101"/>
      <c r="CGC12" s="101"/>
      <c r="CGD12" s="101"/>
      <c r="CGE12" s="101"/>
      <c r="CGF12" s="101"/>
      <c r="CGG12" s="101"/>
      <c r="CGH12" s="101"/>
      <c r="CGI12" s="101"/>
      <c r="CGJ12" s="101"/>
      <c r="CGK12" s="101"/>
      <c r="CGL12" s="101"/>
      <c r="CGM12" s="101"/>
      <c r="CGN12" s="101"/>
      <c r="CGO12" s="101"/>
      <c r="CGP12" s="101"/>
      <c r="CGQ12" s="101"/>
      <c r="CGR12" s="101"/>
      <c r="CGS12" s="101"/>
      <c r="CGT12" s="101"/>
      <c r="CGU12" s="101"/>
      <c r="CGV12" s="101"/>
      <c r="CGW12" s="101"/>
      <c r="CGX12" s="101"/>
      <c r="CGY12" s="101"/>
      <c r="CGZ12" s="101"/>
      <c r="CHA12" s="101"/>
      <c r="CHB12" s="101"/>
      <c r="CHC12" s="101"/>
      <c r="CHD12" s="101"/>
      <c r="CHE12" s="101"/>
      <c r="CHF12" s="101"/>
      <c r="CHG12" s="101"/>
      <c r="CHH12" s="101"/>
      <c r="CHI12" s="101"/>
      <c r="CHJ12" s="101"/>
      <c r="CHK12" s="101"/>
      <c r="CHL12" s="101"/>
      <c r="CHM12" s="101"/>
      <c r="CHN12" s="101"/>
      <c r="CHO12" s="101"/>
      <c r="CHP12" s="101"/>
      <c r="CHQ12" s="101"/>
      <c r="CHR12" s="101"/>
      <c r="CHS12" s="101"/>
      <c r="CHT12" s="101"/>
      <c r="CHU12" s="101"/>
      <c r="CHV12" s="101"/>
      <c r="CHW12" s="101"/>
      <c r="CHX12" s="101"/>
      <c r="CHY12" s="101"/>
      <c r="CHZ12" s="101"/>
      <c r="CIA12" s="101"/>
      <c r="CIB12" s="101"/>
      <c r="CIC12" s="101"/>
      <c r="CID12" s="101"/>
      <c r="CIE12" s="101"/>
      <c r="CIF12" s="101"/>
      <c r="CIG12" s="101"/>
      <c r="CIH12" s="101"/>
      <c r="CII12" s="101"/>
      <c r="CIJ12" s="101"/>
      <c r="CIK12" s="101"/>
      <c r="CIL12" s="101"/>
      <c r="CIM12" s="101"/>
      <c r="CIN12" s="101"/>
      <c r="CIO12" s="101"/>
      <c r="CIP12" s="101"/>
      <c r="CIQ12" s="101"/>
      <c r="CIR12" s="101"/>
      <c r="CIS12" s="101"/>
      <c r="CIT12" s="101"/>
      <c r="CIU12" s="101"/>
      <c r="CIV12" s="101"/>
      <c r="CIW12" s="101"/>
      <c r="CIX12" s="101"/>
      <c r="CIY12" s="101"/>
      <c r="CIZ12" s="101"/>
      <c r="CJA12" s="101"/>
      <c r="CJB12" s="101"/>
      <c r="CJC12" s="101"/>
      <c r="CJD12" s="101"/>
      <c r="CJE12" s="101"/>
      <c r="CJF12" s="101"/>
      <c r="CJG12" s="101"/>
      <c r="CJH12" s="101"/>
      <c r="CJI12" s="101"/>
      <c r="CJJ12" s="101"/>
      <c r="CJK12" s="101"/>
      <c r="CJL12" s="101"/>
      <c r="CJM12" s="101"/>
      <c r="CJN12" s="101"/>
      <c r="CJO12" s="101"/>
      <c r="CJP12" s="101"/>
      <c r="CJQ12" s="101"/>
      <c r="CJR12" s="101"/>
      <c r="CJS12" s="101"/>
      <c r="CJT12" s="101"/>
      <c r="CJU12" s="101"/>
      <c r="CJV12" s="101"/>
      <c r="CJW12" s="101"/>
      <c r="CJX12" s="101"/>
      <c r="CJY12" s="101"/>
      <c r="CJZ12" s="101"/>
      <c r="CKA12" s="101"/>
      <c r="CKB12" s="101"/>
      <c r="CKC12" s="101"/>
      <c r="CKD12" s="101"/>
      <c r="CKE12" s="101"/>
      <c r="CKF12" s="101"/>
      <c r="CKG12" s="101"/>
      <c r="CKH12" s="101"/>
      <c r="CKI12" s="101"/>
      <c r="CKJ12" s="101"/>
      <c r="CKK12" s="101"/>
      <c r="CKL12" s="101"/>
      <c r="CKM12" s="101"/>
      <c r="CKN12" s="101"/>
      <c r="CKO12" s="101"/>
      <c r="CKP12" s="101"/>
      <c r="CKQ12" s="101"/>
      <c r="CKR12" s="101"/>
      <c r="CKS12" s="101"/>
      <c r="CKT12" s="101"/>
      <c r="CKU12" s="101"/>
      <c r="CKV12" s="101"/>
      <c r="CKW12" s="101"/>
      <c r="CKX12" s="101"/>
      <c r="CKY12" s="101"/>
      <c r="CKZ12" s="101"/>
      <c r="CLA12" s="101"/>
      <c r="CLB12" s="101"/>
      <c r="CLC12" s="101"/>
      <c r="CLD12" s="101"/>
      <c r="CLE12" s="101"/>
      <c r="CLF12" s="101"/>
      <c r="CLG12" s="101"/>
      <c r="CLH12" s="101"/>
      <c r="CLI12" s="101"/>
      <c r="CLJ12" s="101"/>
      <c r="CLK12" s="101"/>
      <c r="CLL12" s="101"/>
      <c r="CLM12" s="101"/>
      <c r="CLN12" s="101"/>
      <c r="CLO12" s="101"/>
      <c r="CLP12" s="101"/>
      <c r="CLQ12" s="101"/>
      <c r="CLR12" s="101"/>
      <c r="CLS12" s="101"/>
      <c r="CLT12" s="101"/>
      <c r="CLU12" s="101"/>
      <c r="CLV12" s="101"/>
      <c r="CLW12" s="101"/>
      <c r="CLX12" s="101"/>
      <c r="CLY12" s="101"/>
      <c r="CLZ12" s="101"/>
      <c r="CMA12" s="101"/>
      <c r="CMB12" s="101"/>
      <c r="CMC12" s="101"/>
      <c r="CMD12" s="101"/>
      <c r="CME12" s="101"/>
      <c r="CMF12" s="101"/>
      <c r="CMG12" s="101"/>
      <c r="CMH12" s="101"/>
      <c r="CMI12" s="101"/>
      <c r="CMJ12" s="101"/>
      <c r="CMK12" s="101"/>
      <c r="CML12" s="101"/>
      <c r="CMM12" s="101"/>
      <c r="CMN12" s="101"/>
      <c r="CMO12" s="101"/>
      <c r="CMP12" s="101"/>
      <c r="CMQ12" s="101"/>
      <c r="CMR12" s="101"/>
      <c r="CMS12" s="101"/>
      <c r="CMT12" s="101"/>
      <c r="CMU12" s="101"/>
      <c r="CMV12" s="101"/>
      <c r="CMW12" s="101"/>
      <c r="CMX12" s="101"/>
      <c r="CMY12" s="101"/>
      <c r="CMZ12" s="101"/>
      <c r="CNA12" s="101"/>
      <c r="CNB12" s="101"/>
      <c r="CNC12" s="101"/>
      <c r="CND12" s="101"/>
      <c r="CNE12" s="101"/>
      <c r="CNF12" s="101"/>
      <c r="CNG12" s="101"/>
      <c r="CNH12" s="101"/>
      <c r="CNI12" s="101"/>
      <c r="CNJ12" s="101"/>
      <c r="CNK12" s="101"/>
      <c r="CNL12" s="101"/>
      <c r="CNM12" s="101"/>
      <c r="CNN12" s="101"/>
      <c r="CNO12" s="101"/>
      <c r="CNP12" s="101"/>
      <c r="CNQ12" s="101"/>
      <c r="CNR12" s="101"/>
      <c r="CNS12" s="101"/>
      <c r="CNT12" s="101"/>
      <c r="CNU12" s="101"/>
      <c r="CNV12" s="101"/>
      <c r="CNW12" s="101"/>
      <c r="CNX12" s="101"/>
      <c r="CNY12" s="101"/>
      <c r="CNZ12" s="101"/>
      <c r="COA12" s="101"/>
      <c r="COB12" s="101"/>
      <c r="COC12" s="101"/>
      <c r="COD12" s="101"/>
      <c r="COE12" s="101"/>
      <c r="COF12" s="101"/>
      <c r="COG12" s="101"/>
      <c r="COH12" s="101"/>
      <c r="COI12" s="101"/>
      <c r="COJ12" s="101"/>
      <c r="COK12" s="101"/>
      <c r="COL12" s="101"/>
      <c r="COM12" s="101"/>
      <c r="CON12" s="101"/>
      <c r="COO12" s="101"/>
      <c r="COP12" s="101"/>
      <c r="COQ12" s="101"/>
      <c r="COR12" s="101"/>
      <c r="COS12" s="101"/>
      <c r="COT12" s="101"/>
      <c r="COU12" s="101"/>
      <c r="COV12" s="101"/>
      <c r="COW12" s="101"/>
      <c r="COX12" s="101"/>
      <c r="COY12" s="101"/>
      <c r="COZ12" s="101"/>
      <c r="CPA12" s="101"/>
      <c r="CPB12" s="101"/>
      <c r="CPC12" s="101"/>
      <c r="CPD12" s="101"/>
      <c r="CPE12" s="101"/>
      <c r="CPF12" s="101"/>
      <c r="CPG12" s="101"/>
      <c r="CPH12" s="101"/>
      <c r="CPI12" s="101"/>
      <c r="CPJ12" s="101"/>
      <c r="CPK12" s="101"/>
      <c r="CPL12" s="101"/>
      <c r="CPM12" s="101"/>
      <c r="CPN12" s="101"/>
      <c r="CPO12" s="101"/>
      <c r="CPP12" s="101"/>
      <c r="CPQ12" s="101"/>
      <c r="CPR12" s="101"/>
      <c r="CPS12" s="101"/>
      <c r="CPT12" s="101"/>
      <c r="CPU12" s="101"/>
      <c r="CPV12" s="101"/>
      <c r="CPW12" s="101"/>
      <c r="CPX12" s="101"/>
      <c r="CPY12" s="101"/>
      <c r="CPZ12" s="101"/>
      <c r="CQA12" s="101"/>
      <c r="CQB12" s="101"/>
      <c r="CQC12" s="101"/>
      <c r="CQD12" s="101"/>
      <c r="CQE12" s="101"/>
      <c r="CQF12" s="101"/>
      <c r="CQG12" s="101"/>
      <c r="CQH12" s="101"/>
      <c r="CQI12" s="101"/>
      <c r="CQJ12" s="101"/>
      <c r="CQK12" s="101"/>
      <c r="CQL12" s="101"/>
      <c r="CQM12" s="101"/>
      <c r="CQN12" s="101"/>
      <c r="CQO12" s="101"/>
      <c r="CQP12" s="101"/>
      <c r="CQQ12" s="101"/>
      <c r="CQR12" s="101"/>
      <c r="CQS12" s="101"/>
      <c r="CQT12" s="101"/>
      <c r="CQU12" s="101"/>
      <c r="CQV12" s="101"/>
      <c r="CQW12" s="101"/>
      <c r="CQX12" s="101"/>
      <c r="CQY12" s="101"/>
      <c r="CQZ12" s="101"/>
      <c r="CRA12" s="101"/>
      <c r="CRB12" s="101"/>
      <c r="CRC12" s="101"/>
      <c r="CRD12" s="101"/>
      <c r="CRE12" s="101"/>
      <c r="CRF12" s="101"/>
      <c r="CRG12" s="101"/>
      <c r="CRH12" s="101"/>
      <c r="CRI12" s="101"/>
      <c r="CRJ12" s="101"/>
      <c r="CRK12" s="101"/>
      <c r="CRL12" s="101"/>
      <c r="CRM12" s="101"/>
      <c r="CRN12" s="101"/>
      <c r="CRO12" s="101"/>
      <c r="CRP12" s="101"/>
      <c r="CRQ12" s="101"/>
      <c r="CRR12" s="101"/>
      <c r="CRS12" s="101"/>
      <c r="CRT12" s="101"/>
      <c r="CRU12" s="101"/>
      <c r="CRV12" s="101"/>
      <c r="CRW12" s="101"/>
      <c r="CRX12" s="101"/>
      <c r="CRY12" s="101"/>
      <c r="CRZ12" s="101"/>
      <c r="CSA12" s="101"/>
      <c r="CSB12" s="101"/>
      <c r="CSC12" s="101"/>
      <c r="CSD12" s="101"/>
      <c r="CSE12" s="101"/>
      <c r="CSF12" s="101"/>
      <c r="CSG12" s="101"/>
      <c r="CSH12" s="101"/>
      <c r="CSI12" s="101"/>
      <c r="CSJ12" s="101"/>
      <c r="CSK12" s="101"/>
      <c r="CSL12" s="101"/>
      <c r="CSM12" s="101"/>
      <c r="CSN12" s="101"/>
      <c r="CSO12" s="101"/>
      <c r="CSP12" s="101"/>
      <c r="CSQ12" s="101"/>
      <c r="CSR12" s="101"/>
      <c r="CSS12" s="101"/>
      <c r="CST12" s="101"/>
      <c r="CSU12" s="101"/>
      <c r="CSV12" s="101"/>
      <c r="CSW12" s="101"/>
      <c r="CSX12" s="101"/>
      <c r="CSY12" s="101"/>
      <c r="CSZ12" s="101"/>
      <c r="CTA12" s="101"/>
      <c r="CTB12" s="101"/>
      <c r="CTC12" s="101"/>
      <c r="CTD12" s="101"/>
      <c r="CTE12" s="101"/>
      <c r="CTF12" s="101"/>
      <c r="CTG12" s="101"/>
      <c r="CTH12" s="101"/>
      <c r="CTI12" s="101"/>
      <c r="CTJ12" s="101"/>
      <c r="CTK12" s="101"/>
      <c r="CTL12" s="101"/>
      <c r="CTM12" s="101"/>
      <c r="CTN12" s="101"/>
      <c r="CTO12" s="101"/>
      <c r="CTP12" s="101"/>
      <c r="CTQ12" s="101"/>
      <c r="CTR12" s="101"/>
      <c r="CTS12" s="101"/>
      <c r="CTT12" s="101"/>
      <c r="CTU12" s="101"/>
      <c r="CTV12" s="101"/>
      <c r="CTW12" s="101"/>
      <c r="CTX12" s="101"/>
      <c r="CTY12" s="101"/>
      <c r="CTZ12" s="101"/>
      <c r="CUA12" s="101"/>
      <c r="CUB12" s="101"/>
      <c r="CUC12" s="101"/>
      <c r="CUD12" s="101"/>
      <c r="CUE12" s="101"/>
      <c r="CUF12" s="101"/>
      <c r="CUG12" s="101"/>
      <c r="CUH12" s="101"/>
      <c r="CUI12" s="101"/>
      <c r="CUJ12" s="101"/>
      <c r="CUK12" s="101"/>
      <c r="CUL12" s="101"/>
      <c r="CUM12" s="101"/>
      <c r="CUN12" s="101"/>
      <c r="CUO12" s="101"/>
      <c r="CUP12" s="101"/>
      <c r="CUQ12" s="101"/>
      <c r="CUR12" s="101"/>
      <c r="CUS12" s="101"/>
      <c r="CUT12" s="101"/>
      <c r="CUU12" s="101"/>
      <c r="CUV12" s="101"/>
      <c r="CUW12" s="101"/>
      <c r="CUX12" s="101"/>
      <c r="CUY12" s="101"/>
      <c r="CUZ12" s="101"/>
      <c r="CVA12" s="101"/>
      <c r="CVB12" s="101"/>
      <c r="CVC12" s="101"/>
      <c r="CVD12" s="101"/>
      <c r="CVE12" s="101"/>
      <c r="CVF12" s="101"/>
      <c r="CVG12" s="101"/>
      <c r="CVH12" s="101"/>
      <c r="CVI12" s="101"/>
      <c r="CVJ12" s="101"/>
      <c r="CVK12" s="101"/>
      <c r="CVL12" s="101"/>
      <c r="CVM12" s="101"/>
      <c r="CVN12" s="101"/>
      <c r="CVO12" s="101"/>
      <c r="CVP12" s="101"/>
      <c r="CVQ12" s="101"/>
      <c r="CVR12" s="101"/>
      <c r="CVS12" s="101"/>
      <c r="CVT12" s="101"/>
      <c r="CVU12" s="101"/>
      <c r="CVV12" s="101"/>
      <c r="CVW12" s="101"/>
      <c r="CVX12" s="101"/>
      <c r="CVY12" s="101"/>
      <c r="CVZ12" s="101"/>
      <c r="CWA12" s="101"/>
      <c r="CWB12" s="101"/>
      <c r="CWC12" s="101"/>
      <c r="CWD12" s="101"/>
      <c r="CWE12" s="101"/>
      <c r="CWF12" s="101"/>
      <c r="CWG12" s="101"/>
      <c r="CWH12" s="101"/>
      <c r="CWI12" s="101"/>
      <c r="CWJ12" s="101"/>
      <c r="CWK12" s="101"/>
      <c r="CWL12" s="101"/>
      <c r="CWM12" s="101"/>
      <c r="CWN12" s="101"/>
      <c r="CWO12" s="101"/>
      <c r="CWP12" s="101"/>
      <c r="CWQ12" s="101"/>
      <c r="CWR12" s="101"/>
      <c r="CWS12" s="101"/>
      <c r="CWT12" s="101"/>
      <c r="CWU12" s="101"/>
      <c r="CWV12" s="101"/>
      <c r="CWW12" s="101"/>
      <c r="CWX12" s="101"/>
      <c r="CWY12" s="101"/>
      <c r="CWZ12" s="101"/>
      <c r="CXA12" s="101"/>
      <c r="CXB12" s="101"/>
      <c r="CXC12" s="101"/>
      <c r="CXD12" s="101"/>
      <c r="CXE12" s="101"/>
      <c r="CXF12" s="101"/>
      <c r="CXG12" s="101"/>
      <c r="CXH12" s="101"/>
      <c r="CXI12" s="101"/>
      <c r="CXJ12" s="101"/>
      <c r="CXK12" s="101"/>
      <c r="CXL12" s="101"/>
      <c r="CXM12" s="101"/>
      <c r="CXN12" s="101"/>
      <c r="CXO12" s="101"/>
      <c r="CXP12" s="101"/>
      <c r="CXQ12" s="101"/>
      <c r="CXR12" s="101"/>
      <c r="CXS12" s="101"/>
      <c r="CXT12" s="101"/>
      <c r="CXU12" s="101"/>
      <c r="CXV12" s="101"/>
      <c r="CXW12" s="101"/>
      <c r="CXX12" s="101"/>
      <c r="CXY12" s="101"/>
      <c r="CXZ12" s="101"/>
      <c r="CYA12" s="101"/>
      <c r="CYB12" s="101"/>
      <c r="CYC12" s="101"/>
      <c r="CYD12" s="101"/>
      <c r="CYE12" s="101"/>
      <c r="CYF12" s="101"/>
      <c r="CYG12" s="101"/>
      <c r="CYH12" s="101"/>
      <c r="CYI12" s="101"/>
      <c r="CYJ12" s="101"/>
      <c r="CYK12" s="101"/>
      <c r="CYL12" s="101"/>
      <c r="CYM12" s="101"/>
      <c r="CYN12" s="101"/>
      <c r="CYO12" s="101"/>
      <c r="CYP12" s="101"/>
      <c r="CYQ12" s="101"/>
      <c r="CYR12" s="101"/>
      <c r="CYS12" s="101"/>
      <c r="CYT12" s="101"/>
      <c r="CYU12" s="101"/>
      <c r="CYV12" s="101"/>
      <c r="CYW12" s="101"/>
      <c r="CYX12" s="101"/>
      <c r="CYY12" s="101"/>
      <c r="CYZ12" s="101"/>
      <c r="CZA12" s="101"/>
      <c r="CZB12" s="101"/>
      <c r="CZC12" s="101"/>
      <c r="CZD12" s="101"/>
      <c r="CZE12" s="101"/>
      <c r="CZF12" s="101"/>
      <c r="CZG12" s="101"/>
      <c r="CZH12" s="101"/>
      <c r="CZI12" s="101"/>
      <c r="CZJ12" s="101"/>
      <c r="CZK12" s="101"/>
      <c r="CZL12" s="101"/>
      <c r="CZM12" s="101"/>
      <c r="CZN12" s="101"/>
      <c r="CZO12" s="101"/>
      <c r="CZP12" s="101"/>
      <c r="CZQ12" s="101"/>
      <c r="CZR12" s="101"/>
      <c r="CZS12" s="101"/>
      <c r="CZT12" s="101"/>
      <c r="CZU12" s="101"/>
      <c r="CZV12" s="101"/>
      <c r="CZW12" s="101"/>
      <c r="CZX12" s="101"/>
      <c r="CZY12" s="101"/>
      <c r="CZZ12" s="101"/>
      <c r="DAA12" s="101"/>
      <c r="DAB12" s="101"/>
      <c r="DAC12" s="101"/>
      <c r="DAD12" s="101"/>
      <c r="DAE12" s="101"/>
      <c r="DAF12" s="101"/>
      <c r="DAG12" s="101"/>
      <c r="DAH12" s="101"/>
      <c r="DAI12" s="101"/>
      <c r="DAJ12" s="101"/>
      <c r="DAK12" s="101"/>
      <c r="DAL12" s="101"/>
      <c r="DAM12" s="101"/>
      <c r="DAN12" s="101"/>
      <c r="DAO12" s="101"/>
      <c r="DAP12" s="101"/>
      <c r="DAQ12" s="101"/>
      <c r="DAR12" s="101"/>
      <c r="DAS12" s="101"/>
      <c r="DAT12" s="101"/>
      <c r="DAU12" s="101"/>
      <c r="DAV12" s="101"/>
      <c r="DAW12" s="101"/>
      <c r="DAX12" s="101"/>
      <c r="DAY12" s="101"/>
      <c r="DAZ12" s="101"/>
      <c r="DBA12" s="101"/>
      <c r="DBB12" s="101"/>
      <c r="DBC12" s="101"/>
      <c r="DBD12" s="101"/>
      <c r="DBE12" s="101"/>
      <c r="DBF12" s="101"/>
      <c r="DBG12" s="101"/>
      <c r="DBH12" s="101"/>
      <c r="DBI12" s="101"/>
      <c r="DBJ12" s="101"/>
      <c r="DBK12" s="101"/>
      <c r="DBL12" s="101"/>
      <c r="DBM12" s="101"/>
      <c r="DBN12" s="101"/>
      <c r="DBO12" s="101"/>
      <c r="DBP12" s="101"/>
      <c r="DBQ12" s="101"/>
      <c r="DBR12" s="101"/>
      <c r="DBS12" s="101"/>
      <c r="DBT12" s="101"/>
      <c r="DBU12" s="101"/>
      <c r="DBV12" s="101"/>
      <c r="DBW12" s="101"/>
      <c r="DBX12" s="101"/>
      <c r="DBY12" s="101"/>
      <c r="DBZ12" s="101"/>
      <c r="DCA12" s="101"/>
      <c r="DCB12" s="101"/>
      <c r="DCC12" s="101"/>
      <c r="DCD12" s="101"/>
      <c r="DCE12" s="101"/>
      <c r="DCF12" s="101"/>
      <c r="DCG12" s="101"/>
      <c r="DCH12" s="101"/>
      <c r="DCI12" s="101"/>
      <c r="DCJ12" s="101"/>
      <c r="DCK12" s="101"/>
      <c r="DCL12" s="101"/>
      <c r="DCM12" s="101"/>
      <c r="DCN12" s="101"/>
      <c r="DCO12" s="101"/>
      <c r="DCP12" s="101"/>
      <c r="DCQ12" s="101"/>
      <c r="DCR12" s="101"/>
      <c r="DCS12" s="101"/>
      <c r="DCT12" s="101"/>
      <c r="DCU12" s="101"/>
      <c r="DCV12" s="101"/>
      <c r="DCW12" s="101"/>
      <c r="DCX12" s="101"/>
      <c r="DCY12" s="101"/>
      <c r="DCZ12" s="101"/>
      <c r="DDA12" s="101"/>
      <c r="DDB12" s="101"/>
      <c r="DDC12" s="101"/>
      <c r="DDD12" s="101"/>
      <c r="DDE12" s="101"/>
      <c r="DDF12" s="101"/>
      <c r="DDG12" s="101"/>
      <c r="DDH12" s="101"/>
      <c r="DDI12" s="101"/>
      <c r="DDJ12" s="101"/>
      <c r="DDK12" s="101"/>
      <c r="DDL12" s="101"/>
      <c r="DDM12" s="101"/>
      <c r="DDN12" s="101"/>
      <c r="DDO12" s="101"/>
      <c r="DDP12" s="101"/>
      <c r="DDQ12" s="101"/>
      <c r="DDR12" s="101"/>
      <c r="DDS12" s="101"/>
      <c r="DDT12" s="101"/>
      <c r="DDU12" s="101"/>
      <c r="DDV12" s="101"/>
      <c r="DDW12" s="101"/>
      <c r="DDX12" s="101"/>
      <c r="DDY12" s="101"/>
      <c r="DDZ12" s="101"/>
      <c r="DEA12" s="101"/>
      <c r="DEB12" s="101"/>
      <c r="DEC12" s="101"/>
      <c r="DED12" s="101"/>
      <c r="DEE12" s="101"/>
      <c r="DEF12" s="101"/>
      <c r="DEG12" s="101"/>
      <c r="DEH12" s="101"/>
      <c r="DEI12" s="101"/>
      <c r="DEJ12" s="101"/>
      <c r="DEK12" s="101"/>
      <c r="DEL12" s="101"/>
      <c r="DEM12" s="101"/>
      <c r="DEN12" s="101"/>
      <c r="DEO12" s="101"/>
      <c r="DEP12" s="101"/>
      <c r="DEQ12" s="101"/>
      <c r="DER12" s="101"/>
      <c r="DES12" s="101"/>
      <c r="DET12" s="101"/>
      <c r="DEU12" s="101"/>
      <c r="DEV12" s="101"/>
      <c r="DEW12" s="101"/>
      <c r="DEX12" s="101"/>
      <c r="DEY12" s="101"/>
      <c r="DEZ12" s="101"/>
      <c r="DFA12" s="101"/>
      <c r="DFB12" s="101"/>
      <c r="DFC12" s="101"/>
      <c r="DFD12" s="101"/>
      <c r="DFE12" s="101"/>
      <c r="DFF12" s="101"/>
      <c r="DFG12" s="101"/>
      <c r="DFH12" s="101"/>
      <c r="DFI12" s="101"/>
      <c r="DFJ12" s="101"/>
      <c r="DFK12" s="101"/>
      <c r="DFL12" s="101"/>
      <c r="DFM12" s="101"/>
      <c r="DFN12" s="101"/>
      <c r="DFO12" s="101"/>
      <c r="DFP12" s="101"/>
      <c r="DFQ12" s="101"/>
      <c r="DFR12" s="101"/>
      <c r="DFS12" s="101"/>
      <c r="DFT12" s="101"/>
      <c r="DFU12" s="101"/>
      <c r="DFV12" s="101"/>
      <c r="DFW12" s="101"/>
      <c r="DFX12" s="101"/>
      <c r="DFY12" s="101"/>
      <c r="DFZ12" s="101"/>
      <c r="DGA12" s="101"/>
      <c r="DGB12" s="101"/>
      <c r="DGC12" s="101"/>
      <c r="DGD12" s="101"/>
      <c r="DGE12" s="101"/>
      <c r="DGF12" s="101"/>
      <c r="DGG12" s="101"/>
      <c r="DGH12" s="101"/>
      <c r="DGI12" s="101"/>
      <c r="DGJ12" s="101"/>
      <c r="DGK12" s="101"/>
      <c r="DGL12" s="101"/>
      <c r="DGM12" s="101"/>
      <c r="DGN12" s="101"/>
      <c r="DGO12" s="101"/>
      <c r="DGP12" s="101"/>
      <c r="DGQ12" s="101"/>
      <c r="DGR12" s="101"/>
      <c r="DGS12" s="101"/>
      <c r="DGT12" s="101"/>
      <c r="DGU12" s="101"/>
      <c r="DGV12" s="101"/>
      <c r="DGW12" s="101"/>
      <c r="DGX12" s="101"/>
      <c r="DGY12" s="101"/>
      <c r="DGZ12" s="101"/>
      <c r="DHA12" s="101"/>
      <c r="DHB12" s="101"/>
      <c r="DHC12" s="101"/>
      <c r="DHD12" s="101"/>
      <c r="DHE12" s="101"/>
      <c r="DHF12" s="101"/>
      <c r="DHG12" s="101"/>
      <c r="DHH12" s="101"/>
      <c r="DHI12" s="101"/>
      <c r="DHJ12" s="101"/>
      <c r="DHK12" s="101"/>
      <c r="DHL12" s="101"/>
      <c r="DHM12" s="101"/>
      <c r="DHN12" s="101"/>
      <c r="DHO12" s="101"/>
      <c r="DHP12" s="101"/>
      <c r="DHQ12" s="101"/>
      <c r="DHR12" s="101"/>
      <c r="DHS12" s="101"/>
      <c r="DHT12" s="101"/>
      <c r="DHU12" s="101"/>
      <c r="DHV12" s="101"/>
      <c r="DHW12" s="101"/>
      <c r="DHX12" s="101"/>
      <c r="DHY12" s="101"/>
      <c r="DHZ12" s="101"/>
      <c r="DIA12" s="101"/>
      <c r="DIB12" s="101"/>
      <c r="DIC12" s="101"/>
      <c r="DID12" s="101"/>
      <c r="DIE12" s="101"/>
      <c r="DIF12" s="101"/>
      <c r="DIG12" s="101"/>
      <c r="DIH12" s="101"/>
      <c r="DII12" s="101"/>
      <c r="DIJ12" s="101"/>
      <c r="DIK12" s="101"/>
      <c r="DIL12" s="101"/>
      <c r="DIM12" s="101"/>
      <c r="DIN12" s="101"/>
      <c r="DIO12" s="101"/>
      <c r="DIP12" s="101"/>
      <c r="DIQ12" s="101"/>
      <c r="DIR12" s="101"/>
      <c r="DIS12" s="101"/>
      <c r="DIT12" s="101"/>
      <c r="DIU12" s="101"/>
      <c r="DIV12" s="101"/>
      <c r="DIW12" s="101"/>
      <c r="DIX12" s="101"/>
      <c r="DIY12" s="101"/>
      <c r="DIZ12" s="101"/>
      <c r="DJA12" s="101"/>
      <c r="DJB12" s="101"/>
      <c r="DJC12" s="101"/>
      <c r="DJD12" s="101"/>
      <c r="DJE12" s="101"/>
      <c r="DJF12" s="101"/>
      <c r="DJG12" s="101"/>
      <c r="DJH12" s="101"/>
      <c r="DJI12" s="101"/>
      <c r="DJJ12" s="101"/>
      <c r="DJK12" s="101"/>
      <c r="DJL12" s="101"/>
      <c r="DJM12" s="101"/>
      <c r="DJN12" s="101"/>
      <c r="DJO12" s="101"/>
      <c r="DJP12" s="101"/>
      <c r="DJQ12" s="101"/>
      <c r="DJR12" s="101"/>
      <c r="DJS12" s="101"/>
      <c r="DJT12" s="101"/>
      <c r="DJU12" s="101"/>
      <c r="DJV12" s="101"/>
      <c r="DJW12" s="101"/>
      <c r="DJX12" s="101"/>
      <c r="DJY12" s="101"/>
      <c r="DJZ12" s="101"/>
      <c r="DKA12" s="101"/>
      <c r="DKB12" s="101"/>
      <c r="DKC12" s="101"/>
      <c r="DKD12" s="101"/>
      <c r="DKE12" s="101"/>
      <c r="DKF12" s="101"/>
      <c r="DKG12" s="101"/>
      <c r="DKH12" s="101"/>
      <c r="DKI12" s="101"/>
      <c r="DKJ12" s="101"/>
      <c r="DKK12" s="101"/>
      <c r="DKL12" s="101"/>
      <c r="DKM12" s="101"/>
      <c r="DKN12" s="101"/>
      <c r="DKO12" s="101"/>
      <c r="DKP12" s="101"/>
      <c r="DKQ12" s="101"/>
      <c r="DKR12" s="101"/>
      <c r="DKS12" s="101"/>
      <c r="DKT12" s="101"/>
      <c r="DKU12" s="101"/>
      <c r="DKV12" s="101"/>
      <c r="DKW12" s="101"/>
      <c r="DKX12" s="101"/>
      <c r="DKY12" s="101"/>
      <c r="DKZ12" s="101"/>
      <c r="DLA12" s="101"/>
      <c r="DLB12" s="101"/>
      <c r="DLC12" s="101"/>
      <c r="DLD12" s="101"/>
      <c r="DLE12" s="101"/>
      <c r="DLF12" s="101"/>
      <c r="DLG12" s="101"/>
      <c r="DLH12" s="101"/>
      <c r="DLI12" s="101"/>
      <c r="DLJ12" s="101"/>
      <c r="DLK12" s="101"/>
      <c r="DLL12" s="101"/>
      <c r="DLM12" s="101"/>
      <c r="DLN12" s="101"/>
      <c r="DLO12" s="101"/>
      <c r="DLP12" s="101"/>
      <c r="DLQ12" s="101"/>
      <c r="DLR12" s="101"/>
      <c r="DLS12" s="101"/>
      <c r="DLT12" s="101"/>
      <c r="DLU12" s="101"/>
      <c r="DLV12" s="101"/>
      <c r="DLW12" s="101"/>
      <c r="DLX12" s="101"/>
      <c r="DLY12" s="101"/>
      <c r="DLZ12" s="101"/>
      <c r="DMA12" s="101"/>
      <c r="DMB12" s="101"/>
      <c r="DMC12" s="101"/>
      <c r="DMD12" s="101"/>
      <c r="DME12" s="101"/>
      <c r="DMF12" s="101"/>
      <c r="DMG12" s="101"/>
      <c r="DMH12" s="101"/>
      <c r="DMI12" s="101"/>
      <c r="DMJ12" s="101"/>
      <c r="DMK12" s="101"/>
      <c r="DML12" s="101"/>
      <c r="DMM12" s="101"/>
      <c r="DMN12" s="101"/>
      <c r="DMO12" s="101"/>
      <c r="DMP12" s="101"/>
      <c r="DMQ12" s="101"/>
      <c r="DMR12" s="101"/>
      <c r="DMS12" s="101"/>
      <c r="DMT12" s="101"/>
      <c r="DMU12" s="101"/>
      <c r="DMV12" s="101"/>
      <c r="DMW12" s="101"/>
      <c r="DMX12" s="101"/>
      <c r="DMY12" s="101"/>
      <c r="DMZ12" s="101"/>
      <c r="DNA12" s="101"/>
      <c r="DNB12" s="101"/>
      <c r="DNC12" s="101"/>
      <c r="DND12" s="101"/>
      <c r="DNE12" s="101"/>
      <c r="DNF12" s="101"/>
      <c r="DNG12" s="101"/>
      <c r="DNH12" s="101"/>
      <c r="DNI12" s="101"/>
      <c r="DNJ12" s="101"/>
      <c r="DNK12" s="101"/>
      <c r="DNL12" s="101"/>
      <c r="DNM12" s="101"/>
      <c r="DNN12" s="101"/>
      <c r="DNO12" s="101"/>
      <c r="DNP12" s="101"/>
      <c r="DNQ12" s="101"/>
      <c r="DNR12" s="101"/>
      <c r="DNS12" s="101"/>
      <c r="DNT12" s="101"/>
      <c r="DNU12" s="101"/>
      <c r="DNV12" s="101"/>
      <c r="DNW12" s="101"/>
      <c r="DNX12" s="101"/>
      <c r="DNY12" s="101"/>
      <c r="DNZ12" s="101"/>
      <c r="DOA12" s="101"/>
      <c r="DOB12" s="101"/>
      <c r="DOC12" s="101"/>
      <c r="DOD12" s="101"/>
      <c r="DOE12" s="101"/>
      <c r="DOF12" s="101"/>
      <c r="DOG12" s="101"/>
      <c r="DOH12" s="101"/>
      <c r="DOI12" s="101"/>
      <c r="DOJ12" s="101"/>
      <c r="DOK12" s="101"/>
      <c r="DOL12" s="101"/>
      <c r="DOM12" s="101"/>
      <c r="DON12" s="101"/>
      <c r="DOO12" s="101"/>
      <c r="DOP12" s="101"/>
      <c r="DOQ12" s="101"/>
      <c r="DOR12" s="101"/>
      <c r="DOS12" s="101"/>
      <c r="DOT12" s="101"/>
      <c r="DOU12" s="101"/>
      <c r="DOV12" s="101"/>
      <c r="DOW12" s="101"/>
      <c r="DOX12" s="101"/>
      <c r="DOY12" s="101"/>
      <c r="DOZ12" s="101"/>
      <c r="DPA12" s="101"/>
      <c r="DPB12" s="101"/>
      <c r="DPC12" s="101"/>
      <c r="DPD12" s="101"/>
      <c r="DPE12" s="101"/>
      <c r="DPF12" s="101"/>
      <c r="DPG12" s="101"/>
      <c r="DPH12" s="101"/>
      <c r="DPI12" s="101"/>
      <c r="DPJ12" s="101"/>
      <c r="DPK12" s="101"/>
      <c r="DPL12" s="101"/>
      <c r="DPM12" s="101"/>
      <c r="DPN12" s="101"/>
      <c r="DPO12" s="101"/>
      <c r="DPP12" s="101"/>
      <c r="DPQ12" s="101"/>
      <c r="DPR12" s="101"/>
      <c r="DPS12" s="101"/>
      <c r="DPT12" s="101"/>
      <c r="DPU12" s="101"/>
      <c r="DPV12" s="101"/>
      <c r="DPW12" s="101"/>
      <c r="DPX12" s="101"/>
      <c r="DPY12" s="101"/>
      <c r="DPZ12" s="101"/>
      <c r="DQA12" s="101"/>
      <c r="DQB12" s="101"/>
      <c r="DQC12" s="101"/>
      <c r="DQD12" s="101"/>
      <c r="DQE12" s="101"/>
      <c r="DQF12" s="101"/>
      <c r="DQG12" s="101"/>
      <c r="DQH12" s="101"/>
      <c r="DQI12" s="101"/>
      <c r="DQJ12" s="101"/>
      <c r="DQK12" s="101"/>
      <c r="DQL12" s="101"/>
      <c r="DQM12" s="101"/>
      <c r="DQN12" s="101"/>
      <c r="DQO12" s="101"/>
      <c r="DQP12" s="101"/>
      <c r="DQQ12" s="101"/>
      <c r="DQR12" s="101"/>
      <c r="DQS12" s="101"/>
      <c r="DQT12" s="101"/>
      <c r="DQU12" s="101"/>
      <c r="DQV12" s="101"/>
      <c r="DQW12" s="101"/>
      <c r="DQX12" s="101"/>
      <c r="DQY12" s="101"/>
      <c r="DQZ12" s="101"/>
      <c r="DRA12" s="101"/>
      <c r="DRB12" s="101"/>
      <c r="DRC12" s="101"/>
      <c r="DRD12" s="101"/>
      <c r="DRE12" s="101"/>
      <c r="DRF12" s="101"/>
      <c r="DRG12" s="101"/>
      <c r="DRH12" s="101"/>
      <c r="DRI12" s="101"/>
      <c r="DRJ12" s="101"/>
      <c r="DRK12" s="101"/>
      <c r="DRL12" s="101"/>
      <c r="DRM12" s="101"/>
      <c r="DRN12" s="101"/>
      <c r="DRO12" s="101"/>
      <c r="DRP12" s="101"/>
      <c r="DRQ12" s="101"/>
      <c r="DRR12" s="101"/>
      <c r="DRS12" s="101"/>
      <c r="DRT12" s="101"/>
      <c r="DRU12" s="101"/>
      <c r="DRV12" s="101"/>
      <c r="DRW12" s="101"/>
      <c r="DRX12" s="101"/>
      <c r="DRY12" s="101"/>
      <c r="DRZ12" s="101"/>
      <c r="DSA12" s="101"/>
      <c r="DSB12" s="101"/>
      <c r="DSC12" s="101"/>
      <c r="DSD12" s="101"/>
      <c r="DSE12" s="101"/>
      <c r="DSF12" s="101"/>
      <c r="DSG12" s="101"/>
      <c r="DSH12" s="101"/>
      <c r="DSI12" s="101"/>
      <c r="DSJ12" s="101"/>
      <c r="DSK12" s="101"/>
      <c r="DSL12" s="101"/>
      <c r="DSM12" s="101"/>
      <c r="DSN12" s="101"/>
      <c r="DSO12" s="101"/>
      <c r="DSP12" s="101"/>
      <c r="DSQ12" s="101"/>
      <c r="DSR12" s="101"/>
      <c r="DSS12" s="101"/>
      <c r="DST12" s="101"/>
      <c r="DSU12" s="101"/>
      <c r="DSV12" s="101"/>
      <c r="DSW12" s="101"/>
      <c r="DSX12" s="101"/>
      <c r="DSY12" s="101"/>
      <c r="DSZ12" s="101"/>
      <c r="DTA12" s="101"/>
      <c r="DTB12" s="101"/>
      <c r="DTC12" s="101"/>
      <c r="DTD12" s="101"/>
      <c r="DTE12" s="101"/>
      <c r="DTF12" s="101"/>
      <c r="DTG12" s="101"/>
      <c r="DTH12" s="101"/>
      <c r="DTI12" s="101"/>
      <c r="DTJ12" s="101"/>
      <c r="DTK12" s="101"/>
      <c r="DTL12" s="101"/>
      <c r="DTM12" s="101"/>
      <c r="DTN12" s="101"/>
      <c r="DTO12" s="101"/>
      <c r="DTP12" s="101"/>
      <c r="DTQ12" s="101"/>
      <c r="DTR12" s="101"/>
      <c r="DTS12" s="101"/>
      <c r="DTT12" s="101"/>
      <c r="DTU12" s="101"/>
      <c r="DTV12" s="101"/>
      <c r="DTW12" s="101"/>
      <c r="DTX12" s="101"/>
      <c r="DTY12" s="101"/>
      <c r="DTZ12" s="101"/>
      <c r="DUA12" s="101"/>
      <c r="DUB12" s="101"/>
      <c r="DUC12" s="101"/>
      <c r="DUD12" s="101"/>
      <c r="DUE12" s="101"/>
      <c r="DUF12" s="101"/>
      <c r="DUG12" s="101"/>
      <c r="DUH12" s="101"/>
      <c r="DUI12" s="101"/>
      <c r="DUJ12" s="101"/>
      <c r="DUK12" s="101"/>
      <c r="DUL12" s="101"/>
      <c r="DUM12" s="101"/>
      <c r="DUN12" s="101"/>
      <c r="DUO12" s="101"/>
      <c r="DUP12" s="101"/>
      <c r="DUQ12" s="101"/>
      <c r="DUR12" s="101"/>
      <c r="DUS12" s="101"/>
      <c r="DUT12" s="101"/>
      <c r="DUU12" s="101"/>
      <c r="DUV12" s="101"/>
      <c r="DUW12" s="101"/>
      <c r="DUX12" s="101"/>
      <c r="DUY12" s="101"/>
      <c r="DUZ12" s="101"/>
      <c r="DVA12" s="101"/>
      <c r="DVB12" s="101"/>
      <c r="DVC12" s="101"/>
      <c r="DVD12" s="101"/>
      <c r="DVE12" s="101"/>
      <c r="DVF12" s="101"/>
      <c r="DVG12" s="101"/>
      <c r="DVH12" s="101"/>
      <c r="DVI12" s="101"/>
      <c r="DVJ12" s="101"/>
      <c r="DVK12" s="101"/>
      <c r="DVL12" s="101"/>
      <c r="DVM12" s="101"/>
      <c r="DVN12" s="101"/>
      <c r="DVO12" s="101"/>
      <c r="DVP12" s="101"/>
      <c r="DVQ12" s="101"/>
      <c r="DVR12" s="101"/>
      <c r="DVS12" s="101"/>
      <c r="DVT12" s="101"/>
      <c r="DVU12" s="101"/>
      <c r="DVV12" s="101"/>
      <c r="DVW12" s="101"/>
      <c r="DVX12" s="101"/>
      <c r="DVY12" s="101"/>
      <c r="DVZ12" s="101"/>
      <c r="DWA12" s="101"/>
      <c r="DWB12" s="101"/>
      <c r="DWC12" s="101"/>
      <c r="DWD12" s="101"/>
      <c r="DWE12" s="101"/>
      <c r="DWF12" s="101"/>
      <c r="DWG12" s="101"/>
      <c r="DWH12" s="101"/>
      <c r="DWI12" s="101"/>
      <c r="DWJ12" s="101"/>
      <c r="DWK12" s="101"/>
      <c r="DWL12" s="101"/>
      <c r="DWM12" s="101"/>
      <c r="DWN12" s="101"/>
      <c r="DWO12" s="101"/>
      <c r="DWP12" s="101"/>
      <c r="DWQ12" s="101"/>
      <c r="DWR12" s="101"/>
      <c r="DWS12" s="101"/>
      <c r="DWT12" s="101"/>
      <c r="DWU12" s="101"/>
      <c r="DWV12" s="101"/>
      <c r="DWW12" s="101"/>
      <c r="DWX12" s="101"/>
      <c r="DWY12" s="101"/>
      <c r="DWZ12" s="101"/>
      <c r="DXA12" s="101"/>
      <c r="DXB12" s="101"/>
      <c r="DXC12" s="101"/>
      <c r="DXD12" s="101"/>
      <c r="DXE12" s="101"/>
      <c r="DXF12" s="101"/>
      <c r="DXG12" s="101"/>
      <c r="DXH12" s="101"/>
      <c r="DXI12" s="101"/>
      <c r="DXJ12" s="101"/>
      <c r="DXK12" s="101"/>
      <c r="DXL12" s="101"/>
      <c r="DXM12" s="101"/>
      <c r="DXN12" s="101"/>
      <c r="DXO12" s="101"/>
      <c r="DXP12" s="101"/>
      <c r="DXQ12" s="101"/>
      <c r="DXR12" s="101"/>
      <c r="DXS12" s="101"/>
      <c r="DXT12" s="101"/>
      <c r="DXU12" s="101"/>
      <c r="DXV12" s="101"/>
      <c r="DXW12" s="101"/>
      <c r="DXX12" s="101"/>
      <c r="DXY12" s="101"/>
      <c r="DXZ12" s="101"/>
      <c r="DYA12" s="101"/>
      <c r="DYB12" s="101"/>
      <c r="DYC12" s="101"/>
      <c r="DYD12" s="101"/>
      <c r="DYE12" s="101"/>
      <c r="DYF12" s="101"/>
      <c r="DYG12" s="101"/>
      <c r="DYH12" s="101"/>
      <c r="DYI12" s="101"/>
      <c r="DYJ12" s="101"/>
      <c r="DYK12" s="101"/>
      <c r="DYL12" s="101"/>
      <c r="DYM12" s="101"/>
      <c r="DYN12" s="101"/>
      <c r="DYO12" s="101"/>
      <c r="DYP12" s="101"/>
      <c r="DYQ12" s="101"/>
      <c r="DYR12" s="101"/>
      <c r="DYS12" s="101"/>
      <c r="DYT12" s="101"/>
      <c r="DYU12" s="101"/>
      <c r="DYV12" s="101"/>
      <c r="DYW12" s="101"/>
      <c r="DYX12" s="101"/>
      <c r="DYY12" s="101"/>
      <c r="DYZ12" s="101"/>
      <c r="DZA12" s="101"/>
      <c r="DZB12" s="101"/>
      <c r="DZC12" s="101"/>
      <c r="DZD12" s="101"/>
      <c r="DZE12" s="101"/>
      <c r="DZF12" s="101"/>
      <c r="DZG12" s="101"/>
      <c r="DZH12" s="101"/>
      <c r="DZI12" s="101"/>
      <c r="DZJ12" s="101"/>
      <c r="DZK12" s="101"/>
      <c r="DZL12" s="101"/>
      <c r="DZM12" s="101"/>
      <c r="DZN12" s="101"/>
      <c r="DZO12" s="101"/>
      <c r="DZP12" s="101"/>
      <c r="DZQ12" s="101"/>
      <c r="DZR12" s="101"/>
      <c r="DZS12" s="101"/>
      <c r="DZT12" s="101"/>
      <c r="DZU12" s="101"/>
      <c r="DZV12" s="101"/>
      <c r="DZW12" s="101"/>
      <c r="DZX12" s="101"/>
      <c r="DZY12" s="101"/>
      <c r="DZZ12" s="101"/>
      <c r="EAA12" s="101"/>
      <c r="EAB12" s="101"/>
      <c r="EAC12" s="101"/>
      <c r="EAD12" s="101"/>
      <c r="EAE12" s="101"/>
      <c r="EAF12" s="101"/>
      <c r="EAG12" s="101"/>
      <c r="EAH12" s="101"/>
      <c r="EAI12" s="101"/>
      <c r="EAJ12" s="101"/>
      <c r="EAK12" s="101"/>
      <c r="EAL12" s="101"/>
      <c r="EAM12" s="101"/>
      <c r="EAN12" s="101"/>
      <c r="EAO12" s="101"/>
      <c r="EAP12" s="101"/>
      <c r="EAQ12" s="101"/>
      <c r="EAR12" s="101"/>
      <c r="EAS12" s="101"/>
      <c r="EAT12" s="101"/>
      <c r="EAU12" s="101"/>
      <c r="EAV12" s="101"/>
      <c r="EAW12" s="101"/>
      <c r="EAX12" s="101"/>
      <c r="EAY12" s="101"/>
      <c r="EAZ12" s="101"/>
      <c r="EBA12" s="101"/>
      <c r="EBB12" s="101"/>
      <c r="EBC12" s="101"/>
      <c r="EBD12" s="101"/>
      <c r="EBE12" s="101"/>
      <c r="EBF12" s="101"/>
      <c r="EBG12" s="101"/>
      <c r="EBH12" s="101"/>
      <c r="EBI12" s="101"/>
      <c r="EBJ12" s="101"/>
      <c r="EBK12" s="101"/>
      <c r="EBL12" s="101"/>
      <c r="EBM12" s="101"/>
      <c r="EBN12" s="101"/>
      <c r="EBO12" s="101"/>
      <c r="EBP12" s="101"/>
      <c r="EBQ12" s="101"/>
      <c r="EBR12" s="101"/>
      <c r="EBS12" s="101"/>
      <c r="EBT12" s="101"/>
      <c r="EBU12" s="101"/>
      <c r="EBV12" s="101"/>
      <c r="EBW12" s="101"/>
      <c r="EBX12" s="101"/>
      <c r="EBY12" s="101"/>
      <c r="EBZ12" s="101"/>
      <c r="ECA12" s="101"/>
      <c r="ECB12" s="101"/>
      <c r="ECC12" s="101"/>
      <c r="ECD12" s="101"/>
      <c r="ECE12" s="101"/>
      <c r="ECF12" s="101"/>
      <c r="ECG12" s="101"/>
      <c r="ECH12" s="101"/>
      <c r="ECI12" s="101"/>
      <c r="ECJ12" s="101"/>
      <c r="ECK12" s="101"/>
      <c r="ECL12" s="101"/>
      <c r="ECM12" s="101"/>
      <c r="ECN12" s="101"/>
      <c r="ECO12" s="101"/>
      <c r="ECP12" s="101"/>
      <c r="ECQ12" s="101"/>
      <c r="ECR12" s="101"/>
      <c r="ECS12" s="101"/>
      <c r="ECT12" s="101"/>
      <c r="ECU12" s="101"/>
      <c r="ECV12" s="101"/>
      <c r="ECW12" s="101"/>
      <c r="ECX12" s="101"/>
      <c r="ECY12" s="101"/>
      <c r="ECZ12" s="101"/>
      <c r="EDA12" s="101"/>
      <c r="EDB12" s="101"/>
      <c r="EDC12" s="101"/>
      <c r="EDD12" s="101"/>
      <c r="EDE12" s="101"/>
      <c r="EDF12" s="101"/>
      <c r="EDG12" s="101"/>
      <c r="EDH12" s="101"/>
      <c r="EDI12" s="101"/>
      <c r="EDJ12" s="101"/>
      <c r="EDK12" s="101"/>
      <c r="EDL12" s="101"/>
      <c r="EDM12" s="101"/>
      <c r="EDN12" s="101"/>
      <c r="EDO12" s="101"/>
      <c r="EDP12" s="101"/>
      <c r="EDQ12" s="101"/>
      <c r="EDR12" s="101"/>
      <c r="EDS12" s="101"/>
      <c r="EDT12" s="101"/>
      <c r="EDU12" s="101"/>
      <c r="EDV12" s="101"/>
      <c r="EDW12" s="101"/>
      <c r="EDX12" s="101"/>
      <c r="EDY12" s="101"/>
      <c r="EDZ12" s="101"/>
      <c r="EEA12" s="101"/>
      <c r="EEB12" s="101"/>
      <c r="EEC12" s="101"/>
      <c r="EED12" s="101"/>
      <c r="EEE12" s="101"/>
      <c r="EEF12" s="101"/>
      <c r="EEG12" s="101"/>
      <c r="EEH12" s="101"/>
      <c r="EEI12" s="101"/>
      <c r="EEJ12" s="101"/>
      <c r="EEK12" s="101"/>
      <c r="EEL12" s="101"/>
      <c r="EEM12" s="101"/>
      <c r="EEN12" s="101"/>
      <c r="EEO12" s="101"/>
      <c r="EEP12" s="101"/>
      <c r="EEQ12" s="101"/>
      <c r="EER12" s="101"/>
      <c r="EES12" s="101"/>
      <c r="EET12" s="101"/>
      <c r="EEU12" s="101"/>
      <c r="EEV12" s="101"/>
      <c r="EEW12" s="101"/>
      <c r="EEX12" s="101"/>
      <c r="EEY12" s="101"/>
      <c r="EEZ12" s="101"/>
      <c r="EFA12" s="101"/>
      <c r="EFB12" s="101"/>
      <c r="EFC12" s="101"/>
      <c r="EFD12" s="101"/>
      <c r="EFE12" s="101"/>
      <c r="EFF12" s="101"/>
      <c r="EFG12" s="101"/>
      <c r="EFH12" s="101"/>
      <c r="EFI12" s="101"/>
      <c r="EFJ12" s="101"/>
      <c r="EFK12" s="101"/>
      <c r="EFL12" s="101"/>
      <c r="EFM12" s="101"/>
      <c r="EFN12" s="101"/>
      <c r="EFO12" s="101"/>
      <c r="EFP12" s="101"/>
      <c r="EFQ12" s="101"/>
      <c r="EFR12" s="101"/>
      <c r="EFS12" s="101"/>
      <c r="EFT12" s="101"/>
      <c r="EFU12" s="101"/>
      <c r="EFV12" s="101"/>
      <c r="EFW12" s="101"/>
      <c r="EFX12" s="101"/>
      <c r="EFY12" s="101"/>
      <c r="EFZ12" s="101"/>
      <c r="EGA12" s="101"/>
      <c r="EGB12" s="101"/>
      <c r="EGC12" s="101"/>
      <c r="EGD12" s="101"/>
      <c r="EGE12" s="101"/>
      <c r="EGF12" s="101"/>
      <c r="EGG12" s="101"/>
      <c r="EGH12" s="101"/>
      <c r="EGI12" s="101"/>
      <c r="EGJ12" s="101"/>
      <c r="EGK12" s="101"/>
      <c r="EGL12" s="101"/>
      <c r="EGM12" s="101"/>
      <c r="EGN12" s="101"/>
      <c r="EGO12" s="101"/>
      <c r="EGP12" s="101"/>
      <c r="EGQ12" s="101"/>
      <c r="EGR12" s="101"/>
      <c r="EGS12" s="101"/>
      <c r="EGT12" s="101"/>
      <c r="EGU12" s="101"/>
      <c r="EGV12" s="101"/>
      <c r="EGW12" s="101"/>
      <c r="EGX12" s="101"/>
      <c r="EGY12" s="101"/>
      <c r="EGZ12" s="101"/>
      <c r="EHA12" s="101"/>
      <c r="EHB12" s="101"/>
      <c r="EHC12" s="101"/>
      <c r="EHD12" s="101"/>
      <c r="EHE12" s="101"/>
      <c r="EHF12" s="101"/>
      <c r="EHG12" s="101"/>
      <c r="EHH12" s="101"/>
      <c r="EHI12" s="101"/>
      <c r="EHJ12" s="101"/>
      <c r="EHK12" s="101"/>
      <c r="EHL12" s="101"/>
      <c r="EHM12" s="101"/>
      <c r="EHN12" s="101"/>
      <c r="EHO12" s="101"/>
      <c r="EHP12" s="101"/>
      <c r="EHQ12" s="101"/>
      <c r="EHR12" s="101"/>
      <c r="EHS12" s="101"/>
      <c r="EHT12" s="101"/>
      <c r="EHU12" s="101"/>
      <c r="EHV12" s="101"/>
      <c r="EHW12" s="101"/>
      <c r="EHX12" s="101"/>
      <c r="EHY12" s="101"/>
      <c r="EHZ12" s="101"/>
      <c r="EIA12" s="101"/>
      <c r="EIB12" s="101"/>
      <c r="EIC12" s="101"/>
      <c r="EID12" s="101"/>
      <c r="EIE12" s="101"/>
      <c r="EIF12" s="101"/>
      <c r="EIG12" s="101"/>
      <c r="EIH12" s="101"/>
      <c r="EII12" s="101"/>
      <c r="EIJ12" s="101"/>
      <c r="EIK12" s="101"/>
      <c r="EIL12" s="101"/>
      <c r="EIM12" s="101"/>
      <c r="EIN12" s="101"/>
      <c r="EIO12" s="101"/>
      <c r="EIP12" s="101"/>
      <c r="EIQ12" s="101"/>
      <c r="EIR12" s="101"/>
      <c r="EIS12" s="101"/>
      <c r="EIT12" s="101"/>
      <c r="EIU12" s="101"/>
      <c r="EIV12" s="101"/>
      <c r="EIW12" s="101"/>
      <c r="EIX12" s="101"/>
      <c r="EIY12" s="101"/>
      <c r="EIZ12" s="101"/>
      <c r="EJA12" s="101"/>
      <c r="EJB12" s="101"/>
      <c r="EJC12" s="101"/>
      <c r="EJD12" s="101"/>
      <c r="EJE12" s="101"/>
      <c r="EJF12" s="101"/>
      <c r="EJG12" s="101"/>
      <c r="EJH12" s="101"/>
      <c r="EJI12" s="101"/>
      <c r="EJJ12" s="101"/>
      <c r="EJK12" s="101"/>
      <c r="EJL12" s="101"/>
      <c r="EJM12" s="101"/>
      <c r="EJN12" s="101"/>
      <c r="EJO12" s="101"/>
      <c r="EJP12" s="101"/>
      <c r="EJQ12" s="101"/>
      <c r="EJR12" s="101"/>
      <c r="EJS12" s="101"/>
      <c r="EJT12" s="101"/>
      <c r="EJU12" s="101"/>
      <c r="EJV12" s="101"/>
      <c r="EJW12" s="101"/>
      <c r="EJX12" s="101"/>
      <c r="EJY12" s="101"/>
      <c r="EJZ12" s="101"/>
      <c r="EKA12" s="101"/>
      <c r="EKB12" s="101"/>
      <c r="EKC12" s="101"/>
      <c r="EKD12" s="101"/>
      <c r="EKE12" s="101"/>
      <c r="EKF12" s="101"/>
      <c r="EKG12" s="101"/>
      <c r="EKH12" s="101"/>
      <c r="EKI12" s="101"/>
      <c r="EKJ12" s="101"/>
      <c r="EKK12" s="101"/>
      <c r="EKL12" s="101"/>
      <c r="EKM12" s="101"/>
      <c r="EKN12" s="101"/>
      <c r="EKO12" s="101"/>
      <c r="EKP12" s="101"/>
      <c r="EKQ12" s="101"/>
      <c r="EKR12" s="101"/>
      <c r="EKS12" s="101"/>
      <c r="EKT12" s="101"/>
      <c r="EKU12" s="101"/>
      <c r="EKV12" s="101"/>
      <c r="EKW12" s="101"/>
      <c r="EKX12" s="101"/>
      <c r="EKY12" s="101"/>
      <c r="EKZ12" s="101"/>
      <c r="ELA12" s="101"/>
      <c r="ELB12" s="101"/>
      <c r="ELC12" s="101"/>
      <c r="ELD12" s="101"/>
      <c r="ELE12" s="101"/>
      <c r="ELF12" s="101"/>
      <c r="ELG12" s="101"/>
      <c r="ELH12" s="101"/>
      <c r="ELI12" s="101"/>
      <c r="ELJ12" s="101"/>
      <c r="ELK12" s="101"/>
      <c r="ELL12" s="101"/>
      <c r="ELM12" s="101"/>
      <c r="ELN12" s="101"/>
      <c r="ELO12" s="101"/>
      <c r="ELP12" s="101"/>
      <c r="ELQ12" s="101"/>
      <c r="ELR12" s="101"/>
      <c r="ELS12" s="101"/>
      <c r="ELT12" s="101"/>
      <c r="ELU12" s="101"/>
      <c r="ELV12" s="101"/>
      <c r="ELW12" s="101"/>
      <c r="ELX12" s="101"/>
      <c r="ELY12" s="101"/>
      <c r="ELZ12" s="101"/>
      <c r="EMA12" s="101"/>
      <c r="EMB12" s="101"/>
      <c r="EMC12" s="101"/>
      <c r="EMD12" s="101"/>
      <c r="EME12" s="101"/>
      <c r="EMF12" s="101"/>
      <c r="EMG12" s="101"/>
      <c r="EMH12" s="101"/>
      <c r="EMI12" s="101"/>
      <c r="EMJ12" s="101"/>
      <c r="EMK12" s="101"/>
      <c r="EML12" s="101"/>
      <c r="EMM12" s="101"/>
      <c r="EMN12" s="101"/>
      <c r="EMO12" s="101"/>
      <c r="EMP12" s="101"/>
      <c r="EMQ12" s="101"/>
      <c r="EMR12" s="101"/>
      <c r="EMS12" s="101"/>
      <c r="EMT12" s="101"/>
      <c r="EMU12" s="101"/>
      <c r="EMV12" s="101"/>
      <c r="EMW12" s="101"/>
      <c r="EMX12" s="101"/>
      <c r="EMY12" s="101"/>
      <c r="EMZ12" s="101"/>
      <c r="ENA12" s="101"/>
      <c r="ENB12" s="101"/>
      <c r="ENC12" s="101"/>
      <c r="END12" s="101"/>
      <c r="ENE12" s="101"/>
      <c r="ENF12" s="101"/>
      <c r="ENG12" s="101"/>
      <c r="ENH12" s="101"/>
      <c r="ENI12" s="101"/>
      <c r="ENJ12" s="101"/>
      <c r="ENK12" s="101"/>
      <c r="ENL12" s="101"/>
      <c r="ENM12" s="101"/>
      <c r="ENN12" s="101"/>
      <c r="ENO12" s="101"/>
      <c r="ENP12" s="101"/>
      <c r="ENQ12" s="101"/>
      <c r="ENR12" s="101"/>
      <c r="ENS12" s="101"/>
      <c r="ENT12" s="101"/>
      <c r="ENU12" s="101"/>
      <c r="ENV12" s="101"/>
      <c r="ENW12" s="101"/>
      <c r="ENX12" s="101"/>
      <c r="ENY12" s="101"/>
      <c r="ENZ12" s="101"/>
      <c r="EOA12" s="101"/>
      <c r="EOB12" s="101"/>
      <c r="EOC12" s="101"/>
      <c r="EOD12" s="101"/>
      <c r="EOE12" s="101"/>
      <c r="EOF12" s="101"/>
      <c r="EOG12" s="101"/>
      <c r="EOH12" s="101"/>
      <c r="EOI12" s="101"/>
      <c r="EOJ12" s="101"/>
      <c r="EOK12" s="101"/>
      <c r="EOL12" s="101"/>
      <c r="EOM12" s="101"/>
      <c r="EON12" s="101"/>
      <c r="EOO12" s="101"/>
      <c r="EOP12" s="101"/>
      <c r="EOQ12" s="101"/>
      <c r="EOR12" s="101"/>
      <c r="EOS12" s="101"/>
      <c r="EOT12" s="101"/>
      <c r="EOU12" s="101"/>
      <c r="EOV12" s="101"/>
      <c r="EOW12" s="101"/>
      <c r="EOX12" s="101"/>
      <c r="EOY12" s="101"/>
      <c r="EOZ12" s="101"/>
      <c r="EPA12" s="101"/>
      <c r="EPB12" s="101"/>
      <c r="EPC12" s="101"/>
      <c r="EPD12" s="101"/>
      <c r="EPE12" s="101"/>
      <c r="EPF12" s="101"/>
      <c r="EPG12" s="101"/>
      <c r="EPH12" s="101"/>
      <c r="EPI12" s="101"/>
      <c r="EPJ12" s="101"/>
      <c r="EPK12" s="101"/>
      <c r="EPL12" s="101"/>
      <c r="EPM12" s="101"/>
      <c r="EPN12" s="101"/>
      <c r="EPO12" s="101"/>
      <c r="EPP12" s="101"/>
      <c r="EPQ12" s="101"/>
      <c r="EPR12" s="101"/>
      <c r="EPS12" s="101"/>
      <c r="EPT12" s="101"/>
      <c r="EPU12" s="101"/>
      <c r="EPV12" s="101"/>
      <c r="EPW12" s="101"/>
      <c r="EPX12" s="101"/>
      <c r="EPY12" s="101"/>
      <c r="EPZ12" s="101"/>
      <c r="EQA12" s="101"/>
      <c r="EQB12" s="101"/>
      <c r="EQC12" s="101"/>
      <c r="EQD12" s="101"/>
      <c r="EQE12" s="101"/>
      <c r="EQF12" s="101"/>
      <c r="EQG12" s="101"/>
      <c r="EQH12" s="101"/>
      <c r="EQI12" s="101"/>
      <c r="EQJ12" s="101"/>
      <c r="EQK12" s="101"/>
      <c r="EQL12" s="101"/>
      <c r="EQM12" s="101"/>
      <c r="EQN12" s="101"/>
      <c r="EQO12" s="101"/>
      <c r="EQP12" s="101"/>
      <c r="EQQ12" s="101"/>
      <c r="EQR12" s="101"/>
      <c r="EQS12" s="101"/>
      <c r="EQT12" s="101"/>
      <c r="EQU12" s="101"/>
      <c r="EQV12" s="101"/>
      <c r="EQW12" s="101"/>
      <c r="EQX12" s="101"/>
      <c r="EQY12" s="101"/>
      <c r="EQZ12" s="101"/>
      <c r="ERA12" s="101"/>
      <c r="ERB12" s="101"/>
      <c r="ERC12" s="101"/>
      <c r="ERD12" s="101"/>
      <c r="ERE12" s="101"/>
      <c r="ERF12" s="101"/>
      <c r="ERG12" s="101"/>
      <c r="ERH12" s="101"/>
      <c r="ERI12" s="101"/>
      <c r="ERJ12" s="101"/>
      <c r="ERK12" s="101"/>
      <c r="ERL12" s="101"/>
      <c r="ERM12" s="101"/>
      <c r="ERN12" s="101"/>
      <c r="ERO12" s="101"/>
      <c r="ERP12" s="101"/>
      <c r="ERQ12" s="101"/>
      <c r="ERR12" s="101"/>
      <c r="ERS12" s="101"/>
      <c r="ERT12" s="101"/>
      <c r="ERU12" s="101"/>
      <c r="ERV12" s="101"/>
      <c r="ERW12" s="101"/>
      <c r="ERX12" s="101"/>
      <c r="ERY12" s="101"/>
      <c r="ERZ12" s="101"/>
      <c r="ESA12" s="101"/>
      <c r="ESB12" s="101"/>
      <c r="ESC12" s="101"/>
      <c r="ESD12" s="101"/>
      <c r="ESE12" s="101"/>
      <c r="ESF12" s="101"/>
      <c r="ESG12" s="101"/>
      <c r="ESH12" s="101"/>
      <c r="ESI12" s="101"/>
      <c r="ESJ12" s="101"/>
      <c r="ESK12" s="101"/>
      <c r="ESL12" s="101"/>
      <c r="ESM12" s="101"/>
      <c r="ESN12" s="101"/>
      <c r="ESO12" s="101"/>
      <c r="ESP12" s="101"/>
      <c r="ESQ12" s="101"/>
      <c r="ESR12" s="101"/>
      <c r="ESS12" s="101"/>
      <c r="EST12" s="101"/>
      <c r="ESU12" s="101"/>
      <c r="ESV12" s="101"/>
      <c r="ESW12" s="101"/>
      <c r="ESX12" s="101"/>
      <c r="ESY12" s="101"/>
      <c r="ESZ12" s="101"/>
      <c r="ETA12" s="101"/>
      <c r="ETB12" s="101"/>
      <c r="ETC12" s="101"/>
      <c r="ETD12" s="101"/>
      <c r="ETE12" s="101"/>
      <c r="ETF12" s="101"/>
      <c r="ETG12" s="101"/>
      <c r="ETH12" s="101"/>
      <c r="ETI12" s="101"/>
      <c r="ETJ12" s="101"/>
      <c r="ETK12" s="101"/>
      <c r="ETL12" s="101"/>
      <c r="ETM12" s="101"/>
      <c r="ETN12" s="101"/>
      <c r="ETO12" s="101"/>
      <c r="ETP12" s="101"/>
      <c r="ETQ12" s="101"/>
      <c r="ETR12" s="101"/>
      <c r="ETS12" s="101"/>
      <c r="ETT12" s="101"/>
      <c r="ETU12" s="101"/>
      <c r="ETV12" s="101"/>
      <c r="ETW12" s="101"/>
      <c r="ETX12" s="101"/>
      <c r="ETY12" s="101"/>
      <c r="ETZ12" s="101"/>
      <c r="EUA12" s="101"/>
      <c r="EUB12" s="101"/>
      <c r="EUC12" s="101"/>
      <c r="EUD12" s="101"/>
      <c r="EUE12" s="101"/>
      <c r="EUF12" s="101"/>
      <c r="EUG12" s="101"/>
      <c r="EUH12" s="101"/>
      <c r="EUI12" s="101"/>
      <c r="EUJ12" s="101"/>
      <c r="EUK12" s="101"/>
      <c r="EUL12" s="101"/>
      <c r="EUM12" s="101"/>
      <c r="EUN12" s="101"/>
      <c r="EUO12" s="101"/>
      <c r="EUP12" s="101"/>
      <c r="EUQ12" s="101"/>
      <c r="EUR12" s="101"/>
      <c r="EUS12" s="101"/>
      <c r="EUT12" s="101"/>
      <c r="EUU12" s="101"/>
      <c r="EUV12" s="101"/>
      <c r="EUW12" s="101"/>
      <c r="EUX12" s="101"/>
      <c r="EUY12" s="101"/>
      <c r="EUZ12" s="101"/>
      <c r="EVA12" s="101"/>
      <c r="EVB12" s="101"/>
      <c r="EVC12" s="101"/>
      <c r="EVD12" s="101"/>
      <c r="EVE12" s="101"/>
      <c r="EVF12" s="101"/>
      <c r="EVG12" s="101"/>
      <c r="EVH12" s="101"/>
      <c r="EVI12" s="101"/>
      <c r="EVJ12" s="101"/>
      <c r="EVK12" s="101"/>
      <c r="EVL12" s="101"/>
      <c r="EVM12" s="101"/>
      <c r="EVN12" s="101"/>
      <c r="EVO12" s="101"/>
      <c r="EVP12" s="101"/>
      <c r="EVQ12" s="101"/>
      <c r="EVR12" s="101"/>
      <c r="EVS12" s="101"/>
      <c r="EVT12" s="101"/>
      <c r="EVU12" s="101"/>
      <c r="EVV12" s="101"/>
      <c r="EVW12" s="101"/>
      <c r="EVX12" s="101"/>
      <c r="EVY12" s="101"/>
      <c r="EVZ12" s="101"/>
      <c r="EWA12" s="101"/>
      <c r="EWB12" s="101"/>
      <c r="EWC12" s="101"/>
      <c r="EWD12" s="101"/>
      <c r="EWE12" s="101"/>
      <c r="EWF12" s="101"/>
      <c r="EWG12" s="101"/>
      <c r="EWH12" s="101"/>
      <c r="EWI12" s="101"/>
      <c r="EWJ12" s="101"/>
      <c r="EWK12" s="101"/>
      <c r="EWL12" s="101"/>
      <c r="EWM12" s="101"/>
      <c r="EWN12" s="101"/>
      <c r="EWO12" s="101"/>
      <c r="EWP12" s="101"/>
      <c r="EWQ12" s="101"/>
      <c r="EWR12" s="101"/>
      <c r="EWS12" s="101"/>
      <c r="EWT12" s="101"/>
      <c r="EWU12" s="101"/>
      <c r="EWV12" s="101"/>
      <c r="EWW12" s="101"/>
      <c r="EWX12" s="101"/>
      <c r="EWY12" s="101"/>
      <c r="EWZ12" s="101"/>
      <c r="EXA12" s="101"/>
      <c r="EXB12" s="101"/>
      <c r="EXC12" s="101"/>
      <c r="EXD12" s="101"/>
      <c r="EXE12" s="101"/>
      <c r="EXF12" s="101"/>
      <c r="EXG12" s="101"/>
      <c r="EXH12" s="101"/>
      <c r="EXI12" s="101"/>
      <c r="EXJ12" s="101"/>
      <c r="EXK12" s="101"/>
      <c r="EXL12" s="101"/>
      <c r="EXM12" s="101"/>
      <c r="EXN12" s="101"/>
      <c r="EXO12" s="101"/>
      <c r="EXP12" s="101"/>
      <c r="EXQ12" s="101"/>
      <c r="EXR12" s="101"/>
      <c r="EXS12" s="101"/>
      <c r="EXT12" s="101"/>
      <c r="EXU12" s="101"/>
      <c r="EXV12" s="101"/>
      <c r="EXW12" s="101"/>
      <c r="EXX12" s="101"/>
      <c r="EXY12" s="101"/>
      <c r="EXZ12" s="101"/>
      <c r="EYA12" s="101"/>
      <c r="EYB12" s="101"/>
      <c r="EYC12" s="101"/>
      <c r="EYD12" s="101"/>
      <c r="EYE12" s="101"/>
      <c r="EYF12" s="101"/>
      <c r="EYG12" s="101"/>
      <c r="EYH12" s="101"/>
      <c r="EYI12" s="101"/>
      <c r="EYJ12" s="101"/>
      <c r="EYK12" s="101"/>
      <c r="EYL12" s="101"/>
      <c r="EYM12" s="101"/>
      <c r="EYN12" s="101"/>
      <c r="EYO12" s="101"/>
      <c r="EYP12" s="101"/>
      <c r="EYQ12" s="101"/>
      <c r="EYR12" s="101"/>
      <c r="EYS12" s="101"/>
      <c r="EYT12" s="101"/>
      <c r="EYU12" s="101"/>
      <c r="EYV12" s="101"/>
      <c r="EYW12" s="101"/>
      <c r="EYX12" s="101"/>
      <c r="EYY12" s="101"/>
      <c r="EYZ12" s="101"/>
      <c r="EZA12" s="101"/>
      <c r="EZB12" s="101"/>
      <c r="EZC12" s="101"/>
      <c r="EZD12" s="101"/>
      <c r="EZE12" s="101"/>
      <c r="EZF12" s="101"/>
      <c r="EZG12" s="101"/>
      <c r="EZH12" s="101"/>
      <c r="EZI12" s="101"/>
      <c r="EZJ12" s="101"/>
      <c r="EZK12" s="101"/>
      <c r="EZL12" s="101"/>
      <c r="EZM12" s="101"/>
      <c r="EZN12" s="101"/>
      <c r="EZO12" s="101"/>
      <c r="EZP12" s="101"/>
      <c r="EZQ12" s="101"/>
      <c r="EZR12" s="101"/>
      <c r="EZS12" s="101"/>
      <c r="EZT12" s="101"/>
      <c r="EZU12" s="101"/>
      <c r="EZV12" s="101"/>
      <c r="EZW12" s="101"/>
      <c r="EZX12" s="101"/>
      <c r="EZY12" s="101"/>
      <c r="EZZ12" s="101"/>
      <c r="FAA12" s="101"/>
      <c r="FAB12" s="101"/>
      <c r="FAC12" s="101"/>
      <c r="FAD12" s="101"/>
      <c r="FAE12" s="101"/>
      <c r="FAF12" s="101"/>
      <c r="FAG12" s="101"/>
      <c r="FAH12" s="101"/>
      <c r="FAI12" s="101"/>
      <c r="FAJ12" s="101"/>
      <c r="FAK12" s="101"/>
      <c r="FAL12" s="101"/>
      <c r="FAM12" s="101"/>
      <c r="FAN12" s="101"/>
      <c r="FAO12" s="101"/>
      <c r="FAP12" s="101"/>
      <c r="FAQ12" s="101"/>
      <c r="FAR12" s="101"/>
      <c r="FAS12" s="101"/>
      <c r="FAT12" s="101"/>
      <c r="FAU12" s="101"/>
      <c r="FAV12" s="101"/>
      <c r="FAW12" s="101"/>
      <c r="FAX12" s="101"/>
      <c r="FAY12" s="101"/>
      <c r="FAZ12" s="101"/>
      <c r="FBA12" s="101"/>
      <c r="FBB12" s="101"/>
      <c r="FBC12" s="101"/>
      <c r="FBD12" s="101"/>
      <c r="FBE12" s="101"/>
      <c r="FBF12" s="101"/>
      <c r="FBG12" s="101"/>
      <c r="FBH12" s="101"/>
      <c r="FBI12" s="101"/>
      <c r="FBJ12" s="101"/>
      <c r="FBK12" s="101"/>
      <c r="FBL12" s="101"/>
      <c r="FBM12" s="101"/>
      <c r="FBN12" s="101"/>
      <c r="FBO12" s="101"/>
      <c r="FBP12" s="101"/>
      <c r="FBQ12" s="101"/>
      <c r="FBR12" s="101"/>
      <c r="FBS12" s="101"/>
      <c r="FBT12" s="101"/>
      <c r="FBU12" s="101"/>
      <c r="FBV12" s="101"/>
      <c r="FBW12" s="101"/>
      <c r="FBX12" s="101"/>
      <c r="FBY12" s="101"/>
      <c r="FBZ12" s="101"/>
      <c r="FCA12" s="101"/>
      <c r="FCB12" s="101"/>
      <c r="FCC12" s="101"/>
      <c r="FCD12" s="101"/>
      <c r="FCE12" s="101"/>
      <c r="FCF12" s="101"/>
      <c r="FCG12" s="101"/>
      <c r="FCH12" s="101"/>
      <c r="FCI12" s="101"/>
      <c r="FCJ12" s="101"/>
      <c r="FCK12" s="101"/>
      <c r="FCL12" s="101"/>
      <c r="FCM12" s="101"/>
      <c r="FCN12" s="101"/>
      <c r="FCO12" s="101"/>
      <c r="FCP12" s="101"/>
      <c r="FCQ12" s="101"/>
      <c r="FCR12" s="101"/>
      <c r="FCS12" s="101"/>
      <c r="FCT12" s="101"/>
      <c r="FCU12" s="101"/>
      <c r="FCV12" s="101"/>
      <c r="FCW12" s="101"/>
      <c r="FCX12" s="101"/>
      <c r="FCY12" s="101"/>
      <c r="FCZ12" s="101"/>
      <c r="FDA12" s="101"/>
      <c r="FDB12" s="101"/>
      <c r="FDC12" s="101"/>
      <c r="FDD12" s="101"/>
      <c r="FDE12" s="101"/>
      <c r="FDF12" s="101"/>
      <c r="FDG12" s="101"/>
      <c r="FDH12" s="101"/>
      <c r="FDI12" s="101"/>
      <c r="FDJ12" s="101"/>
      <c r="FDK12" s="101"/>
      <c r="FDL12" s="101"/>
      <c r="FDM12" s="101"/>
      <c r="FDN12" s="101"/>
      <c r="FDO12" s="101"/>
      <c r="FDP12" s="101"/>
      <c r="FDQ12" s="101"/>
      <c r="FDR12" s="101"/>
      <c r="FDS12" s="101"/>
      <c r="FDT12" s="101"/>
      <c r="FDU12" s="101"/>
      <c r="FDV12" s="101"/>
      <c r="FDW12" s="101"/>
      <c r="FDX12" s="101"/>
      <c r="FDY12" s="101"/>
      <c r="FDZ12" s="101"/>
      <c r="FEA12" s="101"/>
      <c r="FEB12" s="101"/>
      <c r="FEC12" s="101"/>
      <c r="FED12" s="101"/>
      <c r="FEE12" s="101"/>
      <c r="FEF12" s="101"/>
      <c r="FEG12" s="101"/>
      <c r="FEH12" s="101"/>
      <c r="FEI12" s="101"/>
      <c r="FEJ12" s="101"/>
      <c r="FEK12" s="101"/>
      <c r="FEL12" s="101"/>
      <c r="FEM12" s="101"/>
      <c r="FEN12" s="101"/>
      <c r="FEO12" s="101"/>
      <c r="FEP12" s="101"/>
      <c r="FEQ12" s="101"/>
      <c r="FER12" s="101"/>
      <c r="FES12" s="101"/>
      <c r="FET12" s="101"/>
      <c r="FEU12" s="101"/>
      <c r="FEV12" s="101"/>
      <c r="FEW12" s="101"/>
      <c r="FEX12" s="101"/>
      <c r="FEY12" s="101"/>
      <c r="FEZ12" s="101"/>
      <c r="FFA12" s="101"/>
      <c r="FFB12" s="101"/>
      <c r="FFC12" s="101"/>
      <c r="FFD12" s="101"/>
      <c r="FFE12" s="101"/>
      <c r="FFF12" s="101"/>
      <c r="FFG12" s="101"/>
      <c r="FFH12" s="101"/>
      <c r="FFI12" s="101"/>
      <c r="FFJ12" s="101"/>
      <c r="FFK12" s="101"/>
      <c r="FFL12" s="101"/>
      <c r="FFM12" s="101"/>
      <c r="FFN12" s="101"/>
      <c r="FFO12" s="101"/>
      <c r="FFP12" s="101"/>
      <c r="FFQ12" s="101"/>
      <c r="FFR12" s="101"/>
      <c r="FFS12" s="101"/>
      <c r="FFT12" s="101"/>
      <c r="FFU12" s="101"/>
      <c r="FFV12" s="101"/>
      <c r="FFW12" s="101"/>
      <c r="FFX12" s="101"/>
      <c r="FFY12" s="101"/>
      <c r="FFZ12" s="101"/>
      <c r="FGA12" s="101"/>
      <c r="FGB12" s="101"/>
      <c r="FGC12" s="101"/>
      <c r="FGD12" s="101"/>
      <c r="FGE12" s="101"/>
      <c r="FGF12" s="101"/>
      <c r="FGG12" s="101"/>
      <c r="FGH12" s="101"/>
      <c r="FGI12" s="101"/>
      <c r="FGJ12" s="101"/>
      <c r="FGK12" s="101"/>
      <c r="FGL12" s="101"/>
      <c r="FGM12" s="101"/>
      <c r="FGN12" s="101"/>
      <c r="FGO12" s="101"/>
      <c r="FGP12" s="101"/>
      <c r="FGQ12" s="101"/>
      <c r="FGR12" s="101"/>
      <c r="FGS12" s="101"/>
      <c r="FGT12" s="101"/>
      <c r="FGU12" s="101"/>
      <c r="FGV12" s="101"/>
      <c r="FGW12" s="101"/>
      <c r="FGX12" s="101"/>
      <c r="FGY12" s="101"/>
      <c r="FGZ12" s="101"/>
      <c r="FHA12" s="101"/>
      <c r="FHB12" s="101"/>
      <c r="FHC12" s="101"/>
      <c r="FHD12" s="101"/>
      <c r="FHE12" s="101"/>
      <c r="FHF12" s="101"/>
      <c r="FHG12" s="101"/>
      <c r="FHH12" s="101"/>
      <c r="FHI12" s="101"/>
      <c r="FHJ12" s="101"/>
      <c r="FHK12" s="101"/>
      <c r="FHL12" s="101"/>
      <c r="FHM12" s="101"/>
      <c r="FHN12" s="101"/>
      <c r="FHO12" s="101"/>
      <c r="FHP12" s="101"/>
      <c r="FHQ12" s="101"/>
      <c r="FHR12" s="101"/>
      <c r="FHS12" s="101"/>
      <c r="FHT12" s="101"/>
      <c r="FHU12" s="101"/>
      <c r="FHV12" s="101"/>
      <c r="FHW12" s="101"/>
      <c r="FHX12" s="101"/>
      <c r="FHY12" s="101"/>
      <c r="FHZ12" s="101"/>
      <c r="FIA12" s="101"/>
      <c r="FIB12" s="101"/>
      <c r="FIC12" s="101"/>
      <c r="FID12" s="101"/>
      <c r="FIE12" s="101"/>
      <c r="FIF12" s="101"/>
      <c r="FIG12" s="101"/>
      <c r="FIH12" s="101"/>
      <c r="FII12" s="101"/>
      <c r="FIJ12" s="101"/>
      <c r="FIK12" s="101"/>
      <c r="FIL12" s="101"/>
      <c r="FIM12" s="101"/>
      <c r="FIN12" s="101"/>
      <c r="FIO12" s="101"/>
      <c r="FIP12" s="101"/>
      <c r="FIQ12" s="101"/>
      <c r="FIR12" s="101"/>
      <c r="FIS12" s="101"/>
      <c r="FIT12" s="101"/>
      <c r="FIU12" s="101"/>
      <c r="FIV12" s="101"/>
      <c r="FIW12" s="101"/>
      <c r="FIX12" s="101"/>
      <c r="FIY12" s="101"/>
      <c r="FIZ12" s="101"/>
      <c r="FJA12" s="101"/>
      <c r="FJB12" s="101"/>
      <c r="FJC12" s="101"/>
      <c r="FJD12" s="101"/>
      <c r="FJE12" s="101"/>
      <c r="FJF12" s="101"/>
      <c r="FJG12" s="101"/>
      <c r="FJH12" s="101"/>
      <c r="FJI12" s="101"/>
      <c r="FJJ12" s="101"/>
      <c r="FJK12" s="101"/>
      <c r="FJL12" s="101"/>
      <c r="FJM12" s="101"/>
      <c r="FJN12" s="101"/>
      <c r="FJO12" s="101"/>
      <c r="FJP12" s="101"/>
      <c r="FJQ12" s="101"/>
      <c r="FJR12" s="101"/>
      <c r="FJS12" s="101"/>
      <c r="FJT12" s="101"/>
      <c r="FJU12" s="101"/>
      <c r="FJV12" s="101"/>
      <c r="FJW12" s="101"/>
      <c r="FJX12" s="101"/>
      <c r="FJY12" s="101"/>
      <c r="FJZ12" s="101"/>
      <c r="FKA12" s="101"/>
      <c r="FKB12" s="101"/>
      <c r="FKC12" s="101"/>
      <c r="FKD12" s="101"/>
      <c r="FKE12" s="101"/>
      <c r="FKF12" s="101"/>
      <c r="FKG12" s="101"/>
      <c r="FKH12" s="101"/>
      <c r="FKI12" s="101"/>
      <c r="FKJ12" s="101"/>
      <c r="FKK12" s="101"/>
      <c r="FKL12" s="101"/>
      <c r="FKM12" s="101"/>
      <c r="FKN12" s="101"/>
      <c r="FKO12" s="101"/>
      <c r="FKP12" s="101"/>
      <c r="FKQ12" s="101"/>
      <c r="FKR12" s="101"/>
      <c r="FKS12" s="101"/>
      <c r="FKT12" s="101"/>
      <c r="FKU12" s="101"/>
      <c r="FKV12" s="101"/>
      <c r="FKW12" s="101"/>
      <c r="FKX12" s="101"/>
      <c r="FKY12" s="101"/>
      <c r="FKZ12" s="101"/>
      <c r="FLA12" s="101"/>
      <c r="FLB12" s="101"/>
      <c r="FLC12" s="101"/>
      <c r="FLD12" s="101"/>
      <c r="FLE12" s="101"/>
      <c r="FLF12" s="101"/>
      <c r="FLG12" s="101"/>
      <c r="FLH12" s="101"/>
      <c r="FLI12" s="101"/>
      <c r="FLJ12" s="101"/>
      <c r="FLK12" s="101"/>
      <c r="FLL12" s="101"/>
      <c r="FLM12" s="101"/>
      <c r="FLN12" s="101"/>
      <c r="FLO12" s="101"/>
      <c r="FLP12" s="101"/>
      <c r="FLQ12" s="101"/>
      <c r="FLR12" s="101"/>
      <c r="FLS12" s="101"/>
      <c r="FLT12" s="101"/>
      <c r="FLU12" s="101"/>
      <c r="FLV12" s="101"/>
      <c r="FLW12" s="101"/>
      <c r="FLX12" s="101"/>
      <c r="FLY12" s="101"/>
      <c r="FLZ12" s="101"/>
      <c r="FMA12" s="101"/>
      <c r="FMB12" s="101"/>
      <c r="FMC12" s="101"/>
      <c r="FMD12" s="101"/>
      <c r="FME12" s="101"/>
      <c r="FMF12" s="101"/>
      <c r="FMG12" s="101"/>
      <c r="FMH12" s="101"/>
      <c r="FMI12" s="101"/>
      <c r="FMJ12" s="101"/>
      <c r="FMK12" s="101"/>
      <c r="FML12" s="101"/>
      <c r="FMM12" s="101"/>
      <c r="FMN12" s="101"/>
      <c r="FMO12" s="101"/>
      <c r="FMP12" s="101"/>
      <c r="FMQ12" s="101"/>
      <c r="FMR12" s="101"/>
      <c r="FMS12" s="101"/>
      <c r="FMT12" s="101"/>
      <c r="FMU12" s="101"/>
      <c r="FMV12" s="101"/>
      <c r="FMW12" s="101"/>
      <c r="FMX12" s="101"/>
      <c r="FMY12" s="101"/>
      <c r="FMZ12" s="101"/>
      <c r="FNA12" s="101"/>
      <c r="FNB12" s="101"/>
      <c r="FNC12" s="101"/>
      <c r="FND12" s="101"/>
      <c r="FNE12" s="101"/>
      <c r="FNF12" s="101"/>
      <c r="FNG12" s="101"/>
      <c r="FNH12" s="101"/>
      <c r="FNI12" s="101"/>
      <c r="FNJ12" s="101"/>
      <c r="FNK12" s="101"/>
      <c r="FNL12" s="101"/>
      <c r="FNM12" s="101"/>
      <c r="FNN12" s="101"/>
      <c r="FNO12" s="101"/>
      <c r="FNP12" s="101"/>
      <c r="FNQ12" s="101"/>
      <c r="FNR12" s="101"/>
      <c r="FNS12" s="101"/>
      <c r="FNT12" s="101"/>
      <c r="FNU12" s="101"/>
      <c r="FNV12" s="101"/>
      <c r="FNW12" s="101"/>
      <c r="FNX12" s="101"/>
      <c r="FNY12" s="101"/>
      <c r="FNZ12" s="101"/>
      <c r="FOA12" s="101"/>
      <c r="FOB12" s="101"/>
      <c r="FOC12" s="101"/>
      <c r="FOD12" s="101"/>
      <c r="FOE12" s="101"/>
      <c r="FOF12" s="101"/>
      <c r="FOG12" s="101"/>
      <c r="FOH12" s="101"/>
      <c r="FOI12" s="101"/>
      <c r="FOJ12" s="101"/>
      <c r="FOK12" s="101"/>
      <c r="FOL12" s="101"/>
      <c r="FOM12" s="101"/>
      <c r="FON12" s="101"/>
      <c r="FOO12" s="101"/>
      <c r="FOP12" s="101"/>
      <c r="FOQ12" s="101"/>
      <c r="FOR12" s="101"/>
      <c r="FOS12" s="101"/>
      <c r="FOT12" s="101"/>
      <c r="FOU12" s="101"/>
      <c r="FOV12" s="101"/>
      <c r="FOW12" s="101"/>
      <c r="FOX12" s="101"/>
      <c r="FOY12" s="101"/>
      <c r="FOZ12" s="101"/>
      <c r="FPA12" s="101"/>
      <c r="FPB12" s="101"/>
      <c r="FPC12" s="101"/>
      <c r="FPD12" s="101"/>
      <c r="FPE12" s="101"/>
      <c r="FPF12" s="101"/>
      <c r="FPG12" s="101"/>
      <c r="FPH12" s="101"/>
      <c r="FPI12" s="101"/>
      <c r="FPJ12" s="101"/>
      <c r="FPK12" s="101"/>
      <c r="FPL12" s="101"/>
      <c r="FPM12" s="101"/>
      <c r="FPN12" s="101"/>
      <c r="FPO12" s="101"/>
      <c r="FPP12" s="101"/>
      <c r="FPQ12" s="101"/>
      <c r="FPR12" s="101"/>
      <c r="FPS12" s="101"/>
      <c r="FPT12" s="101"/>
      <c r="FPU12" s="101"/>
      <c r="FPV12" s="101"/>
      <c r="FPW12" s="101"/>
      <c r="FPX12" s="101"/>
      <c r="FPY12" s="101"/>
      <c r="FPZ12" s="101"/>
      <c r="FQA12" s="101"/>
      <c r="FQB12" s="101"/>
      <c r="FQC12" s="101"/>
      <c r="FQD12" s="101"/>
      <c r="FQE12" s="101"/>
      <c r="FQF12" s="101"/>
      <c r="FQG12" s="101"/>
      <c r="FQH12" s="101"/>
      <c r="FQI12" s="101"/>
      <c r="FQJ12" s="101"/>
      <c r="FQK12" s="101"/>
      <c r="FQL12" s="101"/>
      <c r="FQM12" s="101"/>
      <c r="FQN12" s="101"/>
      <c r="FQO12" s="101"/>
      <c r="FQP12" s="101"/>
      <c r="FQQ12" s="101"/>
      <c r="FQR12" s="101"/>
      <c r="FQS12" s="101"/>
      <c r="FQT12" s="101"/>
      <c r="FQU12" s="101"/>
      <c r="FQV12" s="101"/>
      <c r="FQW12" s="101"/>
      <c r="FQX12" s="101"/>
      <c r="FQY12" s="101"/>
      <c r="FQZ12" s="101"/>
      <c r="FRA12" s="101"/>
      <c r="FRB12" s="101"/>
      <c r="FRC12" s="101"/>
      <c r="FRD12" s="101"/>
      <c r="FRE12" s="101"/>
      <c r="FRF12" s="101"/>
      <c r="FRG12" s="101"/>
      <c r="FRH12" s="101"/>
      <c r="FRI12" s="101"/>
      <c r="FRJ12" s="101"/>
      <c r="FRK12" s="101"/>
      <c r="FRL12" s="101"/>
      <c r="FRM12" s="101"/>
      <c r="FRN12" s="101"/>
      <c r="FRO12" s="101"/>
      <c r="FRP12" s="101"/>
      <c r="FRQ12" s="101"/>
      <c r="FRR12" s="101"/>
      <c r="FRS12" s="101"/>
      <c r="FRT12" s="101"/>
      <c r="FRU12" s="101"/>
      <c r="FRV12" s="101"/>
      <c r="FRW12" s="101"/>
      <c r="FRX12" s="101"/>
      <c r="FRY12" s="101"/>
      <c r="FRZ12" s="101"/>
      <c r="FSA12" s="101"/>
      <c r="FSB12" s="101"/>
      <c r="FSC12" s="101"/>
      <c r="FSD12" s="101"/>
      <c r="FSE12" s="101"/>
      <c r="FSF12" s="101"/>
      <c r="FSG12" s="101"/>
      <c r="FSH12" s="101"/>
      <c r="FSI12" s="101"/>
      <c r="FSJ12" s="101"/>
      <c r="FSK12" s="101"/>
      <c r="FSL12" s="101"/>
      <c r="FSM12" s="101"/>
      <c r="FSN12" s="101"/>
      <c r="FSO12" s="101"/>
      <c r="FSP12" s="101"/>
      <c r="FSQ12" s="101"/>
      <c r="FSR12" s="101"/>
      <c r="FSS12" s="101"/>
      <c r="FST12" s="101"/>
      <c r="FSU12" s="101"/>
      <c r="FSV12" s="101"/>
      <c r="FSW12" s="101"/>
      <c r="FSX12" s="101"/>
      <c r="FSY12" s="101"/>
      <c r="FSZ12" s="101"/>
      <c r="FTA12" s="101"/>
      <c r="FTB12" s="101"/>
      <c r="FTC12" s="101"/>
      <c r="FTD12" s="101"/>
      <c r="FTE12" s="101"/>
      <c r="FTF12" s="101"/>
      <c r="FTG12" s="101"/>
      <c r="FTH12" s="101"/>
      <c r="FTI12" s="101"/>
      <c r="FTJ12" s="101"/>
      <c r="FTK12" s="101"/>
      <c r="FTL12" s="101"/>
      <c r="FTM12" s="101"/>
      <c r="FTN12" s="101"/>
      <c r="FTO12" s="101"/>
      <c r="FTP12" s="101"/>
      <c r="FTQ12" s="101"/>
      <c r="FTR12" s="101"/>
      <c r="FTS12" s="101"/>
      <c r="FTT12" s="101"/>
      <c r="FTU12" s="101"/>
      <c r="FTV12" s="101"/>
      <c r="FTW12" s="101"/>
      <c r="FTX12" s="101"/>
      <c r="FTY12" s="101"/>
      <c r="FTZ12" s="101"/>
      <c r="FUA12" s="101"/>
      <c r="FUB12" s="101"/>
      <c r="FUC12" s="101"/>
      <c r="FUD12" s="101"/>
      <c r="FUE12" s="101"/>
      <c r="FUF12" s="101"/>
      <c r="FUG12" s="101"/>
      <c r="FUH12" s="101"/>
      <c r="FUI12" s="101"/>
      <c r="FUJ12" s="101"/>
      <c r="FUK12" s="101"/>
      <c r="FUL12" s="101"/>
      <c r="FUM12" s="101"/>
      <c r="FUN12" s="101"/>
      <c r="FUO12" s="101"/>
      <c r="FUP12" s="101"/>
      <c r="FUQ12" s="101"/>
      <c r="FUR12" s="101"/>
      <c r="FUS12" s="101"/>
      <c r="FUT12" s="101"/>
      <c r="FUU12" s="101"/>
      <c r="FUV12" s="101"/>
      <c r="FUW12" s="101"/>
      <c r="FUX12" s="101"/>
      <c r="FUY12" s="101"/>
      <c r="FUZ12" s="101"/>
      <c r="FVA12" s="101"/>
      <c r="FVB12" s="101"/>
      <c r="FVC12" s="101"/>
      <c r="FVD12" s="101"/>
      <c r="FVE12" s="101"/>
      <c r="FVF12" s="101"/>
      <c r="FVG12" s="101"/>
      <c r="FVH12" s="101"/>
      <c r="FVI12" s="101"/>
      <c r="FVJ12" s="101"/>
      <c r="FVK12" s="101"/>
      <c r="FVL12" s="101"/>
      <c r="FVM12" s="101"/>
      <c r="FVN12" s="101"/>
      <c r="FVO12" s="101"/>
      <c r="FVP12" s="101"/>
      <c r="FVQ12" s="101"/>
      <c r="FVR12" s="101"/>
      <c r="FVS12" s="101"/>
      <c r="FVT12" s="101"/>
      <c r="FVU12" s="101"/>
      <c r="FVV12" s="101"/>
      <c r="FVW12" s="101"/>
      <c r="FVX12" s="101"/>
      <c r="FVY12" s="101"/>
      <c r="FVZ12" s="101"/>
      <c r="FWA12" s="101"/>
      <c r="FWB12" s="101"/>
      <c r="FWC12" s="101"/>
      <c r="FWD12" s="101"/>
      <c r="FWE12" s="101"/>
      <c r="FWF12" s="101"/>
      <c r="FWG12" s="101"/>
      <c r="FWH12" s="101"/>
      <c r="FWI12" s="101"/>
      <c r="FWJ12" s="101"/>
      <c r="FWK12" s="101"/>
      <c r="FWL12" s="101"/>
      <c r="FWM12" s="101"/>
      <c r="FWN12" s="101"/>
      <c r="FWO12" s="101"/>
      <c r="FWP12" s="101"/>
      <c r="FWQ12" s="101"/>
      <c r="FWR12" s="101"/>
      <c r="FWS12" s="101"/>
      <c r="FWT12" s="101"/>
      <c r="FWU12" s="101"/>
      <c r="FWV12" s="101"/>
      <c r="FWW12" s="101"/>
      <c r="FWX12" s="101"/>
      <c r="FWY12" s="101"/>
      <c r="FWZ12" s="101"/>
      <c r="FXA12" s="101"/>
      <c r="FXB12" s="101"/>
      <c r="FXC12" s="101"/>
      <c r="FXD12" s="101"/>
      <c r="FXE12" s="101"/>
      <c r="FXF12" s="101"/>
      <c r="FXG12" s="101"/>
      <c r="FXH12" s="101"/>
      <c r="FXI12" s="101"/>
      <c r="FXJ12" s="101"/>
      <c r="FXK12" s="101"/>
      <c r="FXL12" s="101"/>
      <c r="FXM12" s="101"/>
      <c r="FXN12" s="101"/>
      <c r="FXO12" s="101"/>
      <c r="FXP12" s="101"/>
      <c r="FXQ12" s="101"/>
      <c r="FXR12" s="101"/>
      <c r="FXS12" s="101"/>
      <c r="FXT12" s="101"/>
      <c r="FXU12" s="101"/>
      <c r="FXV12" s="101"/>
      <c r="FXW12" s="101"/>
      <c r="FXX12" s="101"/>
      <c r="FXY12" s="101"/>
      <c r="FXZ12" s="101"/>
      <c r="FYA12" s="101"/>
      <c r="FYB12" s="101"/>
      <c r="FYC12" s="101"/>
      <c r="FYD12" s="101"/>
      <c r="FYE12" s="101"/>
      <c r="FYF12" s="101"/>
      <c r="FYG12" s="101"/>
      <c r="FYH12" s="101"/>
      <c r="FYI12" s="101"/>
      <c r="FYJ12" s="101"/>
      <c r="FYK12" s="101"/>
      <c r="FYL12" s="101"/>
      <c r="FYM12" s="101"/>
      <c r="FYN12" s="101"/>
      <c r="FYO12" s="101"/>
      <c r="FYP12" s="101"/>
      <c r="FYQ12" s="101"/>
      <c r="FYR12" s="101"/>
      <c r="FYS12" s="101"/>
      <c r="FYT12" s="101"/>
      <c r="FYU12" s="101"/>
      <c r="FYV12" s="101"/>
      <c r="FYW12" s="101"/>
      <c r="FYX12" s="101"/>
      <c r="FYY12" s="101"/>
      <c r="FYZ12" s="101"/>
      <c r="FZA12" s="101"/>
      <c r="FZB12" s="101"/>
      <c r="FZC12" s="101"/>
      <c r="FZD12" s="101"/>
      <c r="FZE12" s="101"/>
      <c r="FZF12" s="101"/>
      <c r="FZG12" s="101"/>
      <c r="FZH12" s="101"/>
      <c r="FZI12" s="101"/>
      <c r="FZJ12" s="101"/>
      <c r="FZK12" s="101"/>
      <c r="FZL12" s="101"/>
      <c r="FZM12" s="101"/>
      <c r="FZN12" s="101"/>
      <c r="FZO12" s="101"/>
      <c r="FZP12" s="101"/>
      <c r="FZQ12" s="101"/>
      <c r="FZR12" s="101"/>
      <c r="FZS12" s="101"/>
      <c r="FZT12" s="101"/>
      <c r="FZU12" s="101"/>
      <c r="FZV12" s="101"/>
      <c r="FZW12" s="101"/>
      <c r="FZX12" s="101"/>
      <c r="FZY12" s="101"/>
      <c r="FZZ12" s="101"/>
      <c r="GAA12" s="101"/>
      <c r="GAB12" s="101"/>
      <c r="GAC12" s="101"/>
      <c r="GAD12" s="101"/>
      <c r="GAE12" s="101"/>
      <c r="GAF12" s="101"/>
      <c r="GAG12" s="101"/>
      <c r="GAH12" s="101"/>
      <c r="GAI12" s="101"/>
      <c r="GAJ12" s="101"/>
      <c r="GAK12" s="101"/>
      <c r="GAL12" s="101"/>
      <c r="GAM12" s="101"/>
      <c r="GAN12" s="101"/>
      <c r="GAO12" s="101"/>
      <c r="GAP12" s="101"/>
      <c r="GAQ12" s="101"/>
      <c r="GAR12" s="101"/>
      <c r="GAS12" s="101"/>
      <c r="GAT12" s="101"/>
      <c r="GAU12" s="101"/>
      <c r="GAV12" s="101"/>
      <c r="GAW12" s="101"/>
      <c r="GAX12" s="101"/>
      <c r="GAY12" s="101"/>
      <c r="GAZ12" s="101"/>
      <c r="GBA12" s="101"/>
      <c r="GBB12" s="101"/>
      <c r="GBC12" s="101"/>
      <c r="GBD12" s="101"/>
      <c r="GBE12" s="101"/>
      <c r="GBF12" s="101"/>
      <c r="GBG12" s="101"/>
      <c r="GBH12" s="101"/>
      <c r="GBI12" s="101"/>
      <c r="GBJ12" s="101"/>
      <c r="GBK12" s="101"/>
      <c r="GBL12" s="101"/>
      <c r="GBM12" s="101"/>
      <c r="GBN12" s="101"/>
      <c r="GBO12" s="101"/>
      <c r="GBP12" s="101"/>
      <c r="GBQ12" s="101"/>
      <c r="GBR12" s="101"/>
      <c r="GBS12" s="101"/>
      <c r="GBT12" s="101"/>
      <c r="GBU12" s="101"/>
      <c r="GBV12" s="101"/>
      <c r="GBW12" s="101"/>
      <c r="GBX12" s="101"/>
      <c r="GBY12" s="101"/>
      <c r="GBZ12" s="101"/>
      <c r="GCA12" s="101"/>
      <c r="GCB12" s="101"/>
      <c r="GCC12" s="101"/>
      <c r="GCD12" s="101"/>
      <c r="GCE12" s="101"/>
      <c r="GCF12" s="101"/>
      <c r="GCG12" s="101"/>
      <c r="GCH12" s="101"/>
      <c r="GCI12" s="101"/>
      <c r="GCJ12" s="101"/>
      <c r="GCK12" s="101"/>
      <c r="GCL12" s="101"/>
      <c r="GCM12" s="101"/>
      <c r="GCN12" s="101"/>
      <c r="GCO12" s="101"/>
      <c r="GCP12" s="101"/>
      <c r="GCQ12" s="101"/>
      <c r="GCR12" s="101"/>
      <c r="GCS12" s="101"/>
      <c r="GCT12" s="101"/>
      <c r="GCU12" s="101"/>
      <c r="GCV12" s="101"/>
      <c r="GCW12" s="101"/>
      <c r="GCX12" s="101"/>
      <c r="GCY12" s="101"/>
      <c r="GCZ12" s="101"/>
      <c r="GDA12" s="101"/>
      <c r="GDB12" s="101"/>
      <c r="GDC12" s="101"/>
      <c r="GDD12" s="101"/>
      <c r="GDE12" s="101"/>
      <c r="GDF12" s="101"/>
      <c r="GDG12" s="101"/>
      <c r="GDH12" s="101"/>
      <c r="GDI12" s="101"/>
      <c r="GDJ12" s="101"/>
      <c r="GDK12" s="101"/>
      <c r="GDL12" s="101"/>
      <c r="GDM12" s="101"/>
      <c r="GDN12" s="101"/>
      <c r="GDO12" s="101"/>
      <c r="GDP12" s="101"/>
      <c r="GDQ12" s="101"/>
      <c r="GDR12" s="101"/>
      <c r="GDS12" s="101"/>
      <c r="GDT12" s="101"/>
      <c r="GDU12" s="101"/>
      <c r="GDV12" s="101"/>
      <c r="GDW12" s="101"/>
      <c r="GDX12" s="101"/>
      <c r="GDY12" s="101"/>
      <c r="GDZ12" s="101"/>
      <c r="GEA12" s="101"/>
      <c r="GEB12" s="101"/>
      <c r="GEC12" s="101"/>
      <c r="GED12" s="101"/>
      <c r="GEE12" s="101"/>
      <c r="GEF12" s="101"/>
      <c r="GEG12" s="101"/>
      <c r="GEH12" s="101"/>
      <c r="GEI12" s="101"/>
      <c r="GEJ12" s="101"/>
      <c r="GEK12" s="101"/>
      <c r="GEL12" s="101"/>
      <c r="GEM12" s="101"/>
      <c r="GEN12" s="101"/>
      <c r="GEO12" s="101"/>
      <c r="GEP12" s="101"/>
      <c r="GEQ12" s="101"/>
      <c r="GER12" s="101"/>
      <c r="GES12" s="101"/>
      <c r="GET12" s="101"/>
      <c r="GEU12" s="101"/>
      <c r="GEV12" s="101"/>
      <c r="GEW12" s="101"/>
      <c r="GEX12" s="101"/>
      <c r="GEY12" s="101"/>
      <c r="GEZ12" s="101"/>
      <c r="GFA12" s="101"/>
      <c r="GFB12" s="101"/>
      <c r="GFC12" s="101"/>
      <c r="GFD12" s="101"/>
      <c r="GFE12" s="101"/>
      <c r="GFF12" s="101"/>
      <c r="GFG12" s="101"/>
      <c r="GFH12" s="101"/>
      <c r="GFI12" s="101"/>
      <c r="GFJ12" s="101"/>
      <c r="GFK12" s="101"/>
      <c r="GFL12" s="101"/>
      <c r="GFM12" s="101"/>
      <c r="GFN12" s="101"/>
      <c r="GFO12" s="101"/>
      <c r="GFP12" s="101"/>
      <c r="GFQ12" s="101"/>
      <c r="GFR12" s="101"/>
      <c r="GFS12" s="101"/>
      <c r="GFT12" s="101"/>
      <c r="GFU12" s="101"/>
      <c r="GFV12" s="101"/>
      <c r="GFW12" s="101"/>
      <c r="GFX12" s="101"/>
      <c r="GFY12" s="101"/>
      <c r="GFZ12" s="101"/>
      <c r="GGA12" s="101"/>
      <c r="GGB12" s="101"/>
      <c r="GGC12" s="101"/>
      <c r="GGD12" s="101"/>
      <c r="GGE12" s="101"/>
      <c r="GGF12" s="101"/>
      <c r="GGG12" s="101"/>
      <c r="GGH12" s="101"/>
      <c r="GGI12" s="101"/>
      <c r="GGJ12" s="101"/>
      <c r="GGK12" s="101"/>
      <c r="GGL12" s="101"/>
      <c r="GGM12" s="101"/>
      <c r="GGN12" s="101"/>
      <c r="GGO12" s="101"/>
      <c r="GGP12" s="101"/>
      <c r="GGQ12" s="101"/>
      <c r="GGR12" s="101"/>
      <c r="GGS12" s="101"/>
      <c r="GGT12" s="101"/>
      <c r="GGU12" s="101"/>
      <c r="GGV12" s="101"/>
      <c r="GGW12" s="101"/>
      <c r="GGX12" s="101"/>
      <c r="GGY12" s="101"/>
      <c r="GGZ12" s="101"/>
      <c r="GHA12" s="101"/>
      <c r="GHB12" s="101"/>
      <c r="GHC12" s="101"/>
      <c r="GHD12" s="101"/>
      <c r="GHE12" s="101"/>
      <c r="GHF12" s="101"/>
      <c r="GHG12" s="101"/>
      <c r="GHH12" s="101"/>
      <c r="GHI12" s="101"/>
      <c r="GHJ12" s="101"/>
      <c r="GHK12" s="101"/>
      <c r="GHL12" s="101"/>
      <c r="GHM12" s="101"/>
      <c r="GHN12" s="101"/>
      <c r="GHO12" s="101"/>
      <c r="GHP12" s="101"/>
      <c r="GHQ12" s="101"/>
      <c r="GHR12" s="101"/>
      <c r="GHS12" s="101"/>
      <c r="GHT12" s="101"/>
      <c r="GHU12" s="101"/>
      <c r="GHV12" s="101"/>
      <c r="GHW12" s="101"/>
      <c r="GHX12" s="101"/>
      <c r="GHY12" s="101"/>
      <c r="GHZ12" s="101"/>
      <c r="GIA12" s="101"/>
      <c r="GIB12" s="101"/>
      <c r="GIC12" s="101"/>
      <c r="GID12" s="101"/>
      <c r="GIE12" s="101"/>
      <c r="GIF12" s="101"/>
      <c r="GIG12" s="101"/>
      <c r="GIH12" s="101"/>
      <c r="GII12" s="101"/>
      <c r="GIJ12" s="101"/>
      <c r="GIK12" s="101"/>
      <c r="GIL12" s="101"/>
      <c r="GIM12" s="101"/>
      <c r="GIN12" s="101"/>
      <c r="GIO12" s="101"/>
      <c r="GIP12" s="101"/>
      <c r="GIQ12" s="101"/>
      <c r="GIR12" s="101"/>
      <c r="GIS12" s="101"/>
      <c r="GIT12" s="101"/>
      <c r="GIU12" s="101"/>
      <c r="GIV12" s="101"/>
      <c r="GIW12" s="101"/>
      <c r="GIX12" s="101"/>
      <c r="GIY12" s="101"/>
      <c r="GIZ12" s="101"/>
      <c r="GJA12" s="101"/>
      <c r="GJB12" s="101"/>
      <c r="GJC12" s="101"/>
      <c r="GJD12" s="101"/>
      <c r="GJE12" s="101"/>
      <c r="GJF12" s="101"/>
      <c r="GJG12" s="101"/>
      <c r="GJH12" s="101"/>
      <c r="GJI12" s="101"/>
      <c r="GJJ12" s="101"/>
      <c r="GJK12" s="101"/>
      <c r="GJL12" s="101"/>
      <c r="GJM12" s="101"/>
      <c r="GJN12" s="101"/>
      <c r="GJO12" s="101"/>
      <c r="GJP12" s="101"/>
      <c r="GJQ12" s="101"/>
      <c r="GJR12" s="101"/>
      <c r="GJS12" s="101"/>
      <c r="GJT12" s="101"/>
      <c r="GJU12" s="101"/>
      <c r="GJV12" s="101"/>
      <c r="GJW12" s="101"/>
      <c r="GJX12" s="101"/>
      <c r="GJY12" s="101"/>
      <c r="GJZ12" s="101"/>
      <c r="GKA12" s="101"/>
      <c r="GKB12" s="101"/>
      <c r="GKC12" s="101"/>
      <c r="GKD12" s="101"/>
      <c r="GKE12" s="101"/>
      <c r="GKF12" s="101"/>
      <c r="GKG12" s="101"/>
      <c r="GKH12" s="101"/>
      <c r="GKI12" s="101"/>
      <c r="GKJ12" s="101"/>
      <c r="GKK12" s="101"/>
      <c r="GKL12" s="101"/>
      <c r="GKM12" s="101"/>
      <c r="GKN12" s="101"/>
      <c r="GKO12" s="101"/>
      <c r="GKP12" s="101"/>
      <c r="GKQ12" s="101"/>
      <c r="GKR12" s="101"/>
      <c r="GKS12" s="101"/>
      <c r="GKT12" s="101"/>
      <c r="GKU12" s="101"/>
      <c r="GKV12" s="101"/>
      <c r="GKW12" s="101"/>
      <c r="GKX12" s="101"/>
      <c r="GKY12" s="101"/>
      <c r="GKZ12" s="101"/>
      <c r="GLA12" s="101"/>
      <c r="GLB12" s="101"/>
      <c r="GLC12" s="101"/>
      <c r="GLD12" s="101"/>
      <c r="GLE12" s="101"/>
      <c r="GLF12" s="101"/>
      <c r="GLG12" s="101"/>
      <c r="GLH12" s="101"/>
      <c r="GLI12" s="101"/>
      <c r="GLJ12" s="101"/>
      <c r="GLK12" s="101"/>
      <c r="GLL12" s="101"/>
      <c r="GLM12" s="101"/>
      <c r="GLN12" s="101"/>
      <c r="GLO12" s="101"/>
      <c r="GLP12" s="101"/>
      <c r="GLQ12" s="101"/>
      <c r="GLR12" s="101"/>
      <c r="GLS12" s="101"/>
      <c r="GLT12" s="101"/>
      <c r="GLU12" s="101"/>
      <c r="GLV12" s="101"/>
      <c r="GLW12" s="101"/>
      <c r="GLX12" s="101"/>
      <c r="GLY12" s="101"/>
      <c r="GLZ12" s="101"/>
      <c r="GMA12" s="101"/>
      <c r="GMB12" s="101"/>
      <c r="GMC12" s="101"/>
      <c r="GMD12" s="101"/>
      <c r="GME12" s="101"/>
      <c r="GMF12" s="101"/>
      <c r="GMG12" s="101"/>
      <c r="GMH12" s="101"/>
      <c r="GMI12" s="101"/>
      <c r="GMJ12" s="101"/>
      <c r="GMK12" s="101"/>
      <c r="GML12" s="101"/>
      <c r="GMM12" s="101"/>
      <c r="GMN12" s="101"/>
      <c r="GMO12" s="101"/>
      <c r="GMP12" s="101"/>
      <c r="GMQ12" s="101"/>
      <c r="GMR12" s="101"/>
      <c r="GMS12" s="101"/>
      <c r="GMT12" s="101"/>
      <c r="GMU12" s="101"/>
      <c r="GMV12" s="101"/>
      <c r="GMW12" s="101"/>
      <c r="GMX12" s="101"/>
      <c r="GMY12" s="101"/>
      <c r="GMZ12" s="101"/>
      <c r="GNA12" s="101"/>
      <c r="GNB12" s="101"/>
      <c r="GNC12" s="101"/>
      <c r="GND12" s="101"/>
      <c r="GNE12" s="101"/>
      <c r="GNF12" s="101"/>
      <c r="GNG12" s="101"/>
      <c r="GNH12" s="101"/>
      <c r="GNI12" s="101"/>
      <c r="GNJ12" s="101"/>
      <c r="GNK12" s="101"/>
      <c r="GNL12" s="101"/>
      <c r="GNM12" s="101"/>
      <c r="GNN12" s="101"/>
      <c r="GNO12" s="101"/>
      <c r="GNP12" s="101"/>
      <c r="GNQ12" s="101"/>
      <c r="GNR12" s="101"/>
      <c r="GNS12" s="101"/>
      <c r="GNT12" s="101"/>
      <c r="GNU12" s="101"/>
      <c r="GNV12" s="101"/>
      <c r="GNW12" s="101"/>
      <c r="GNX12" s="101"/>
      <c r="GNY12" s="101"/>
      <c r="GNZ12" s="101"/>
      <c r="GOA12" s="101"/>
      <c r="GOB12" s="101"/>
      <c r="GOC12" s="101"/>
      <c r="GOD12" s="101"/>
      <c r="GOE12" s="101"/>
      <c r="GOF12" s="101"/>
      <c r="GOG12" s="101"/>
      <c r="GOH12" s="101"/>
      <c r="GOI12" s="101"/>
      <c r="GOJ12" s="101"/>
      <c r="GOK12" s="101"/>
      <c r="GOL12" s="101"/>
      <c r="GOM12" s="101"/>
      <c r="GON12" s="101"/>
      <c r="GOO12" s="101"/>
      <c r="GOP12" s="101"/>
      <c r="GOQ12" s="101"/>
      <c r="GOR12" s="101"/>
      <c r="GOS12" s="101"/>
      <c r="GOT12" s="101"/>
      <c r="GOU12" s="101"/>
      <c r="GOV12" s="101"/>
      <c r="GOW12" s="101"/>
      <c r="GOX12" s="101"/>
      <c r="GOY12" s="101"/>
      <c r="GOZ12" s="101"/>
      <c r="GPA12" s="101"/>
      <c r="GPB12" s="101"/>
      <c r="GPC12" s="101"/>
      <c r="GPD12" s="101"/>
      <c r="GPE12" s="101"/>
      <c r="GPF12" s="101"/>
      <c r="GPG12" s="101"/>
      <c r="GPH12" s="101"/>
      <c r="GPI12" s="101"/>
      <c r="GPJ12" s="101"/>
      <c r="GPK12" s="101"/>
      <c r="GPL12" s="101"/>
      <c r="GPM12" s="101"/>
      <c r="GPN12" s="101"/>
      <c r="GPO12" s="101"/>
      <c r="GPP12" s="101"/>
      <c r="GPQ12" s="101"/>
      <c r="GPR12" s="101"/>
      <c r="GPS12" s="101"/>
      <c r="GPT12" s="101"/>
      <c r="GPU12" s="101"/>
      <c r="GPV12" s="101"/>
      <c r="GPW12" s="101"/>
      <c r="GPX12" s="101"/>
      <c r="GPY12" s="101"/>
      <c r="GPZ12" s="101"/>
      <c r="GQA12" s="101"/>
      <c r="GQB12" s="101"/>
      <c r="GQC12" s="101"/>
      <c r="GQD12" s="101"/>
      <c r="GQE12" s="101"/>
      <c r="GQF12" s="101"/>
      <c r="GQG12" s="101"/>
      <c r="GQH12" s="101"/>
      <c r="GQI12" s="101"/>
      <c r="GQJ12" s="101"/>
      <c r="GQK12" s="101"/>
      <c r="GQL12" s="101"/>
      <c r="GQM12" s="101"/>
      <c r="GQN12" s="101"/>
      <c r="GQO12" s="101"/>
      <c r="GQP12" s="101"/>
      <c r="GQQ12" s="101"/>
      <c r="GQR12" s="101"/>
      <c r="GQS12" s="101"/>
      <c r="GQT12" s="101"/>
      <c r="GQU12" s="101"/>
      <c r="GQV12" s="101"/>
      <c r="GQW12" s="101"/>
      <c r="GQX12" s="101"/>
      <c r="GQY12" s="101"/>
      <c r="GQZ12" s="101"/>
      <c r="GRA12" s="101"/>
      <c r="GRB12" s="101"/>
      <c r="GRC12" s="101"/>
      <c r="GRD12" s="101"/>
      <c r="GRE12" s="101"/>
      <c r="GRF12" s="101"/>
      <c r="GRG12" s="101"/>
      <c r="GRH12" s="101"/>
      <c r="GRI12" s="101"/>
      <c r="GRJ12" s="101"/>
      <c r="GRK12" s="101"/>
      <c r="GRL12" s="101"/>
      <c r="GRM12" s="101"/>
      <c r="GRN12" s="101"/>
      <c r="GRO12" s="101"/>
      <c r="GRP12" s="101"/>
      <c r="GRQ12" s="101"/>
      <c r="GRR12" s="101"/>
      <c r="GRS12" s="101"/>
      <c r="GRT12" s="101"/>
      <c r="GRU12" s="101"/>
      <c r="GRV12" s="101"/>
      <c r="GRW12" s="101"/>
      <c r="GRX12" s="101"/>
      <c r="GRY12" s="101"/>
      <c r="GRZ12" s="101"/>
      <c r="GSA12" s="101"/>
      <c r="GSB12" s="101"/>
      <c r="GSC12" s="101"/>
      <c r="GSD12" s="101"/>
      <c r="GSE12" s="101"/>
      <c r="GSF12" s="101"/>
      <c r="GSG12" s="101"/>
      <c r="GSH12" s="101"/>
      <c r="GSI12" s="101"/>
      <c r="GSJ12" s="101"/>
      <c r="GSK12" s="101"/>
      <c r="GSL12" s="101"/>
      <c r="GSM12" s="101"/>
      <c r="GSN12" s="101"/>
      <c r="GSO12" s="101"/>
      <c r="GSP12" s="101"/>
      <c r="GSQ12" s="101"/>
      <c r="GSR12" s="101"/>
      <c r="GSS12" s="101"/>
      <c r="GST12" s="101"/>
      <c r="GSU12" s="101"/>
      <c r="GSV12" s="101"/>
      <c r="GSW12" s="101"/>
      <c r="GSX12" s="101"/>
      <c r="GSY12" s="101"/>
      <c r="GSZ12" s="101"/>
      <c r="GTA12" s="101"/>
      <c r="GTB12" s="101"/>
      <c r="GTC12" s="101"/>
      <c r="GTD12" s="101"/>
      <c r="GTE12" s="101"/>
      <c r="GTF12" s="101"/>
      <c r="GTG12" s="101"/>
      <c r="GTH12" s="101"/>
      <c r="GTI12" s="101"/>
      <c r="GTJ12" s="101"/>
      <c r="GTK12" s="101"/>
      <c r="GTL12" s="101"/>
      <c r="GTM12" s="101"/>
      <c r="GTN12" s="101"/>
      <c r="GTO12" s="101"/>
      <c r="GTP12" s="101"/>
      <c r="GTQ12" s="101"/>
      <c r="GTR12" s="101"/>
      <c r="GTS12" s="101"/>
      <c r="GTT12" s="101"/>
      <c r="GTU12" s="101"/>
      <c r="GTV12" s="101"/>
      <c r="GTW12" s="101"/>
      <c r="GTX12" s="101"/>
      <c r="GTY12" s="101"/>
      <c r="GTZ12" s="101"/>
      <c r="GUA12" s="101"/>
      <c r="GUB12" s="101"/>
      <c r="GUC12" s="101"/>
      <c r="GUD12" s="101"/>
      <c r="GUE12" s="101"/>
      <c r="GUF12" s="101"/>
      <c r="GUG12" s="101"/>
      <c r="GUH12" s="101"/>
      <c r="GUI12" s="101"/>
      <c r="GUJ12" s="101"/>
      <c r="GUK12" s="101"/>
      <c r="GUL12" s="101"/>
      <c r="GUM12" s="101"/>
      <c r="GUN12" s="101"/>
      <c r="GUO12" s="101"/>
      <c r="GUP12" s="101"/>
      <c r="GUQ12" s="101"/>
      <c r="GUR12" s="101"/>
      <c r="GUS12" s="101"/>
      <c r="GUT12" s="101"/>
      <c r="GUU12" s="101"/>
      <c r="GUV12" s="101"/>
      <c r="GUW12" s="101"/>
      <c r="GUX12" s="101"/>
      <c r="GUY12" s="101"/>
      <c r="GUZ12" s="101"/>
      <c r="GVA12" s="101"/>
      <c r="GVB12" s="101"/>
      <c r="GVC12" s="101"/>
      <c r="GVD12" s="101"/>
      <c r="GVE12" s="101"/>
      <c r="GVF12" s="101"/>
      <c r="GVG12" s="101"/>
      <c r="GVH12" s="101"/>
      <c r="GVI12" s="101"/>
      <c r="GVJ12" s="101"/>
      <c r="GVK12" s="101"/>
      <c r="GVL12" s="101"/>
      <c r="GVM12" s="101"/>
      <c r="GVN12" s="101"/>
      <c r="GVO12" s="101"/>
      <c r="GVP12" s="101"/>
      <c r="GVQ12" s="101"/>
      <c r="GVR12" s="101"/>
      <c r="GVS12" s="101"/>
      <c r="GVT12" s="101"/>
      <c r="GVU12" s="101"/>
      <c r="GVV12" s="101"/>
      <c r="GVW12" s="101"/>
      <c r="GVX12" s="101"/>
      <c r="GVY12" s="101"/>
      <c r="GVZ12" s="101"/>
      <c r="GWA12" s="101"/>
      <c r="GWB12" s="101"/>
      <c r="GWC12" s="101"/>
      <c r="GWD12" s="101"/>
      <c r="GWE12" s="101"/>
      <c r="GWF12" s="101"/>
      <c r="GWG12" s="101"/>
      <c r="GWH12" s="101"/>
      <c r="GWI12" s="101"/>
      <c r="GWJ12" s="101"/>
      <c r="GWK12" s="101"/>
      <c r="GWL12" s="101"/>
      <c r="GWM12" s="101"/>
      <c r="GWN12" s="101"/>
      <c r="GWO12" s="101"/>
      <c r="GWP12" s="101"/>
      <c r="GWQ12" s="101"/>
      <c r="GWR12" s="101"/>
      <c r="GWS12" s="101"/>
      <c r="GWT12" s="101"/>
      <c r="GWU12" s="101"/>
      <c r="GWV12" s="101"/>
      <c r="GWW12" s="101"/>
      <c r="GWX12" s="101"/>
      <c r="GWY12" s="101"/>
      <c r="GWZ12" s="101"/>
      <c r="GXA12" s="101"/>
      <c r="GXB12" s="101"/>
      <c r="GXC12" s="101"/>
      <c r="GXD12" s="101"/>
      <c r="GXE12" s="101"/>
      <c r="GXF12" s="101"/>
      <c r="GXG12" s="101"/>
      <c r="GXH12" s="101"/>
      <c r="GXI12" s="101"/>
      <c r="GXJ12" s="101"/>
      <c r="GXK12" s="101"/>
      <c r="GXL12" s="101"/>
      <c r="GXM12" s="101"/>
      <c r="GXN12" s="101"/>
      <c r="GXO12" s="101"/>
      <c r="GXP12" s="101"/>
      <c r="GXQ12" s="101"/>
      <c r="GXR12" s="101"/>
      <c r="GXS12" s="101"/>
      <c r="GXT12" s="101"/>
      <c r="GXU12" s="101"/>
      <c r="GXV12" s="101"/>
      <c r="GXW12" s="101"/>
      <c r="GXX12" s="101"/>
      <c r="GXY12" s="101"/>
      <c r="GXZ12" s="101"/>
      <c r="GYA12" s="101"/>
      <c r="GYB12" s="101"/>
      <c r="GYC12" s="101"/>
      <c r="GYD12" s="101"/>
      <c r="GYE12" s="101"/>
      <c r="GYF12" s="101"/>
      <c r="GYG12" s="101"/>
      <c r="GYH12" s="101"/>
      <c r="GYI12" s="101"/>
      <c r="GYJ12" s="101"/>
      <c r="GYK12" s="101"/>
      <c r="GYL12" s="101"/>
      <c r="GYM12" s="101"/>
      <c r="GYN12" s="101"/>
      <c r="GYO12" s="101"/>
      <c r="GYP12" s="101"/>
      <c r="GYQ12" s="101"/>
      <c r="GYR12" s="101"/>
      <c r="GYS12" s="101"/>
      <c r="GYT12" s="101"/>
      <c r="GYU12" s="101"/>
      <c r="GYV12" s="101"/>
      <c r="GYW12" s="101"/>
      <c r="GYX12" s="101"/>
      <c r="GYY12" s="101"/>
      <c r="GYZ12" s="101"/>
      <c r="GZA12" s="101"/>
      <c r="GZB12" s="101"/>
      <c r="GZC12" s="101"/>
      <c r="GZD12" s="101"/>
      <c r="GZE12" s="101"/>
      <c r="GZF12" s="101"/>
      <c r="GZG12" s="101"/>
      <c r="GZH12" s="101"/>
      <c r="GZI12" s="101"/>
      <c r="GZJ12" s="101"/>
      <c r="GZK12" s="101"/>
      <c r="GZL12" s="101"/>
      <c r="GZM12" s="101"/>
      <c r="GZN12" s="101"/>
      <c r="GZO12" s="101"/>
      <c r="GZP12" s="101"/>
      <c r="GZQ12" s="101"/>
      <c r="GZR12" s="101"/>
      <c r="GZS12" s="101"/>
      <c r="GZT12" s="101"/>
      <c r="GZU12" s="101"/>
      <c r="GZV12" s="101"/>
      <c r="GZW12" s="101"/>
      <c r="GZX12" s="101"/>
      <c r="GZY12" s="101"/>
      <c r="GZZ12" s="101"/>
      <c r="HAA12" s="101"/>
      <c r="HAB12" s="101"/>
      <c r="HAC12" s="101"/>
      <c r="HAD12" s="101"/>
      <c r="HAE12" s="101"/>
      <c r="HAF12" s="101"/>
      <c r="HAG12" s="101"/>
      <c r="HAH12" s="101"/>
      <c r="HAI12" s="101"/>
      <c r="HAJ12" s="101"/>
      <c r="HAK12" s="101"/>
      <c r="HAL12" s="101"/>
      <c r="HAM12" s="101"/>
      <c r="HAN12" s="101"/>
      <c r="HAO12" s="101"/>
      <c r="HAP12" s="101"/>
      <c r="HAQ12" s="101"/>
      <c r="HAR12" s="101"/>
      <c r="HAS12" s="101"/>
      <c r="HAT12" s="101"/>
      <c r="HAU12" s="101"/>
      <c r="HAV12" s="101"/>
      <c r="HAW12" s="101"/>
      <c r="HAX12" s="101"/>
      <c r="HAY12" s="101"/>
      <c r="HAZ12" s="101"/>
      <c r="HBA12" s="101"/>
      <c r="HBB12" s="101"/>
      <c r="HBC12" s="101"/>
      <c r="HBD12" s="101"/>
      <c r="HBE12" s="101"/>
      <c r="HBF12" s="101"/>
      <c r="HBG12" s="101"/>
      <c r="HBH12" s="101"/>
      <c r="HBI12" s="101"/>
      <c r="HBJ12" s="101"/>
      <c r="HBK12" s="101"/>
      <c r="HBL12" s="101"/>
      <c r="HBM12" s="101"/>
      <c r="HBN12" s="101"/>
      <c r="HBO12" s="101"/>
      <c r="HBP12" s="101"/>
      <c r="HBQ12" s="101"/>
      <c r="HBR12" s="101"/>
      <c r="HBS12" s="101"/>
      <c r="HBT12" s="101"/>
      <c r="HBU12" s="101"/>
      <c r="HBV12" s="101"/>
      <c r="HBW12" s="101"/>
      <c r="HBX12" s="101"/>
      <c r="HBY12" s="101"/>
      <c r="HBZ12" s="101"/>
      <c r="HCA12" s="101"/>
      <c r="HCB12" s="101"/>
      <c r="HCC12" s="101"/>
      <c r="HCD12" s="101"/>
      <c r="HCE12" s="101"/>
      <c r="HCF12" s="101"/>
      <c r="HCG12" s="101"/>
      <c r="HCH12" s="101"/>
      <c r="HCI12" s="101"/>
      <c r="HCJ12" s="101"/>
      <c r="HCK12" s="101"/>
      <c r="HCL12" s="101"/>
      <c r="HCM12" s="101"/>
      <c r="HCN12" s="101"/>
      <c r="HCO12" s="101"/>
      <c r="HCP12" s="101"/>
      <c r="HCQ12" s="101"/>
      <c r="HCR12" s="101"/>
      <c r="HCS12" s="101"/>
      <c r="HCT12" s="101"/>
      <c r="HCU12" s="101"/>
      <c r="HCV12" s="101"/>
      <c r="HCW12" s="101"/>
      <c r="HCX12" s="101"/>
      <c r="HCY12" s="101"/>
      <c r="HCZ12" s="101"/>
      <c r="HDA12" s="101"/>
      <c r="HDB12" s="101"/>
      <c r="HDC12" s="101"/>
      <c r="HDD12" s="101"/>
      <c r="HDE12" s="101"/>
      <c r="HDF12" s="101"/>
      <c r="HDG12" s="101"/>
      <c r="HDH12" s="101"/>
      <c r="HDI12" s="101"/>
      <c r="HDJ12" s="101"/>
      <c r="HDK12" s="101"/>
      <c r="HDL12" s="101"/>
      <c r="HDM12" s="101"/>
      <c r="HDN12" s="101"/>
      <c r="HDO12" s="101"/>
      <c r="HDP12" s="101"/>
      <c r="HDQ12" s="101"/>
      <c r="HDR12" s="101"/>
      <c r="HDS12" s="101"/>
      <c r="HDT12" s="101"/>
      <c r="HDU12" s="101"/>
      <c r="HDV12" s="101"/>
      <c r="HDW12" s="101"/>
      <c r="HDX12" s="101"/>
      <c r="HDY12" s="101"/>
      <c r="HDZ12" s="101"/>
      <c r="HEA12" s="101"/>
      <c r="HEB12" s="101"/>
      <c r="HEC12" s="101"/>
      <c r="HED12" s="101"/>
      <c r="HEE12" s="101"/>
      <c r="HEF12" s="101"/>
      <c r="HEG12" s="101"/>
      <c r="HEH12" s="101"/>
      <c r="HEI12" s="101"/>
      <c r="HEJ12" s="101"/>
      <c r="HEK12" s="101"/>
      <c r="HEL12" s="101"/>
      <c r="HEM12" s="101"/>
      <c r="HEN12" s="101"/>
      <c r="HEO12" s="101"/>
      <c r="HEP12" s="101"/>
      <c r="HEQ12" s="101"/>
      <c r="HER12" s="101"/>
      <c r="HES12" s="101"/>
      <c r="HET12" s="101"/>
      <c r="HEU12" s="101"/>
      <c r="HEV12" s="101"/>
      <c r="HEW12" s="101"/>
      <c r="HEX12" s="101"/>
      <c r="HEY12" s="101"/>
      <c r="HEZ12" s="101"/>
      <c r="HFA12" s="101"/>
      <c r="HFB12" s="101"/>
      <c r="HFC12" s="101"/>
      <c r="HFD12" s="101"/>
      <c r="HFE12" s="101"/>
      <c r="HFF12" s="101"/>
      <c r="HFG12" s="101"/>
      <c r="HFH12" s="101"/>
      <c r="HFI12" s="101"/>
      <c r="HFJ12" s="101"/>
      <c r="HFK12" s="101"/>
      <c r="HFL12" s="101"/>
      <c r="HFM12" s="101"/>
      <c r="HFN12" s="101"/>
      <c r="HFO12" s="101"/>
      <c r="HFP12" s="101"/>
      <c r="HFQ12" s="101"/>
      <c r="HFR12" s="101"/>
      <c r="HFS12" s="101"/>
      <c r="HFT12" s="101"/>
      <c r="HFU12" s="101"/>
      <c r="HFV12" s="101"/>
      <c r="HFW12" s="101"/>
      <c r="HFX12" s="101"/>
      <c r="HFY12" s="101"/>
      <c r="HFZ12" s="101"/>
      <c r="HGA12" s="101"/>
      <c r="HGB12" s="101"/>
      <c r="HGC12" s="101"/>
      <c r="HGD12" s="101"/>
      <c r="HGE12" s="101"/>
      <c r="HGF12" s="101"/>
      <c r="HGG12" s="101"/>
      <c r="HGH12" s="101"/>
      <c r="HGI12" s="101"/>
      <c r="HGJ12" s="101"/>
      <c r="HGK12" s="101"/>
      <c r="HGL12" s="101"/>
      <c r="HGM12" s="101"/>
      <c r="HGN12" s="101"/>
      <c r="HGO12" s="101"/>
      <c r="HGP12" s="101"/>
      <c r="HGQ12" s="101"/>
      <c r="HGR12" s="101"/>
      <c r="HGS12" s="101"/>
      <c r="HGT12" s="101"/>
      <c r="HGU12" s="101"/>
      <c r="HGV12" s="101"/>
      <c r="HGW12" s="101"/>
      <c r="HGX12" s="101"/>
      <c r="HGY12" s="101"/>
      <c r="HGZ12" s="101"/>
      <c r="HHA12" s="101"/>
      <c r="HHB12" s="101"/>
      <c r="HHC12" s="101"/>
      <c r="HHD12" s="101"/>
      <c r="HHE12" s="101"/>
      <c r="HHF12" s="101"/>
      <c r="HHG12" s="101"/>
      <c r="HHH12" s="101"/>
      <c r="HHI12" s="101"/>
      <c r="HHJ12" s="101"/>
      <c r="HHK12" s="101"/>
      <c r="HHL12" s="101"/>
      <c r="HHM12" s="101"/>
      <c r="HHN12" s="101"/>
      <c r="HHO12" s="101"/>
      <c r="HHP12" s="101"/>
      <c r="HHQ12" s="101"/>
      <c r="HHR12" s="101"/>
      <c r="HHS12" s="101"/>
      <c r="HHT12" s="101"/>
      <c r="HHU12" s="101"/>
      <c r="HHV12" s="101"/>
      <c r="HHW12" s="101"/>
      <c r="HHX12" s="101"/>
      <c r="HHY12" s="101"/>
      <c r="HHZ12" s="101"/>
      <c r="HIA12" s="101"/>
      <c r="HIB12" s="101"/>
      <c r="HIC12" s="101"/>
      <c r="HID12" s="101"/>
      <c r="HIE12" s="101"/>
      <c r="HIF12" s="101"/>
      <c r="HIG12" s="101"/>
      <c r="HIH12" s="101"/>
      <c r="HII12" s="101"/>
      <c r="HIJ12" s="101"/>
      <c r="HIK12" s="101"/>
      <c r="HIL12" s="101"/>
      <c r="HIM12" s="101"/>
      <c r="HIN12" s="101"/>
      <c r="HIO12" s="101"/>
      <c r="HIP12" s="101"/>
      <c r="HIQ12" s="101"/>
      <c r="HIR12" s="101"/>
      <c r="HIS12" s="101"/>
      <c r="HIT12" s="101"/>
      <c r="HIU12" s="101"/>
      <c r="HIV12" s="101"/>
      <c r="HIW12" s="101"/>
      <c r="HIX12" s="101"/>
      <c r="HIY12" s="101"/>
      <c r="HIZ12" s="101"/>
      <c r="HJA12" s="101"/>
      <c r="HJB12" s="101"/>
      <c r="HJC12" s="101"/>
      <c r="HJD12" s="101"/>
      <c r="HJE12" s="101"/>
      <c r="HJF12" s="101"/>
      <c r="HJG12" s="101"/>
      <c r="HJH12" s="101"/>
      <c r="HJI12" s="101"/>
      <c r="HJJ12" s="101"/>
      <c r="HJK12" s="101"/>
      <c r="HJL12" s="101"/>
      <c r="HJM12" s="101"/>
      <c r="HJN12" s="101"/>
      <c r="HJO12" s="101"/>
      <c r="HJP12" s="101"/>
      <c r="HJQ12" s="101"/>
      <c r="HJR12" s="101"/>
      <c r="HJS12" s="101"/>
      <c r="HJT12" s="101"/>
      <c r="HJU12" s="101"/>
      <c r="HJV12" s="101"/>
      <c r="HJW12" s="101"/>
      <c r="HJX12" s="101"/>
      <c r="HJY12" s="101"/>
      <c r="HJZ12" s="101"/>
      <c r="HKA12" s="101"/>
      <c r="HKB12" s="101"/>
      <c r="HKC12" s="101"/>
      <c r="HKD12" s="101"/>
      <c r="HKE12" s="101"/>
      <c r="HKF12" s="101"/>
      <c r="HKG12" s="101"/>
      <c r="HKH12" s="101"/>
      <c r="HKI12" s="101"/>
      <c r="HKJ12" s="101"/>
      <c r="HKK12" s="101"/>
      <c r="HKL12" s="101"/>
      <c r="HKM12" s="101"/>
      <c r="HKN12" s="101"/>
      <c r="HKO12" s="101"/>
      <c r="HKP12" s="101"/>
      <c r="HKQ12" s="101"/>
      <c r="HKR12" s="101"/>
      <c r="HKS12" s="101"/>
      <c r="HKT12" s="101"/>
      <c r="HKU12" s="101"/>
      <c r="HKV12" s="101"/>
      <c r="HKW12" s="101"/>
      <c r="HKX12" s="101"/>
      <c r="HKY12" s="101"/>
      <c r="HKZ12" s="101"/>
      <c r="HLA12" s="101"/>
      <c r="HLB12" s="101"/>
      <c r="HLC12" s="101"/>
      <c r="HLD12" s="101"/>
      <c r="HLE12" s="101"/>
      <c r="HLF12" s="101"/>
      <c r="HLG12" s="101"/>
      <c r="HLH12" s="101"/>
      <c r="HLI12" s="101"/>
      <c r="HLJ12" s="101"/>
      <c r="HLK12" s="101"/>
      <c r="HLL12" s="101"/>
      <c r="HLM12" s="101"/>
      <c r="HLN12" s="101"/>
      <c r="HLO12" s="101"/>
      <c r="HLP12" s="101"/>
      <c r="HLQ12" s="101"/>
      <c r="HLR12" s="101"/>
      <c r="HLS12" s="101"/>
      <c r="HLT12" s="101"/>
      <c r="HLU12" s="101"/>
      <c r="HLV12" s="101"/>
      <c r="HLW12" s="101"/>
      <c r="HLX12" s="101"/>
      <c r="HLY12" s="101"/>
      <c r="HLZ12" s="101"/>
      <c r="HMA12" s="101"/>
      <c r="HMB12" s="101"/>
      <c r="HMC12" s="101"/>
      <c r="HMD12" s="101"/>
      <c r="HME12" s="101"/>
      <c r="HMF12" s="101"/>
      <c r="HMG12" s="101"/>
      <c r="HMH12" s="101"/>
      <c r="HMI12" s="101"/>
      <c r="HMJ12" s="101"/>
      <c r="HMK12" s="101"/>
      <c r="HML12" s="101"/>
      <c r="HMM12" s="101"/>
      <c r="HMN12" s="101"/>
      <c r="HMO12" s="101"/>
      <c r="HMP12" s="101"/>
      <c r="HMQ12" s="101"/>
      <c r="HMR12" s="101"/>
      <c r="HMS12" s="101"/>
      <c r="HMT12" s="101"/>
      <c r="HMU12" s="101"/>
      <c r="HMV12" s="101"/>
      <c r="HMW12" s="101"/>
      <c r="HMX12" s="101"/>
      <c r="HMY12" s="101"/>
      <c r="HMZ12" s="101"/>
      <c r="HNA12" s="101"/>
      <c r="HNB12" s="101"/>
      <c r="HNC12" s="101"/>
      <c r="HND12" s="101"/>
      <c r="HNE12" s="101"/>
      <c r="HNF12" s="101"/>
      <c r="HNG12" s="101"/>
      <c r="HNH12" s="101"/>
      <c r="HNI12" s="101"/>
      <c r="HNJ12" s="101"/>
      <c r="HNK12" s="101"/>
      <c r="HNL12" s="101"/>
      <c r="HNM12" s="101"/>
      <c r="HNN12" s="101"/>
      <c r="HNO12" s="101"/>
      <c r="HNP12" s="101"/>
      <c r="HNQ12" s="101"/>
      <c r="HNR12" s="101"/>
      <c r="HNS12" s="101"/>
      <c r="HNT12" s="101"/>
      <c r="HNU12" s="101"/>
      <c r="HNV12" s="101"/>
      <c r="HNW12" s="101"/>
      <c r="HNX12" s="101"/>
      <c r="HNY12" s="101"/>
      <c r="HNZ12" s="101"/>
      <c r="HOA12" s="101"/>
      <c r="HOB12" s="101"/>
      <c r="HOC12" s="101"/>
      <c r="HOD12" s="101"/>
      <c r="HOE12" s="101"/>
      <c r="HOF12" s="101"/>
      <c r="HOG12" s="101"/>
      <c r="HOH12" s="101"/>
      <c r="HOI12" s="101"/>
      <c r="HOJ12" s="101"/>
      <c r="HOK12" s="101"/>
      <c r="HOL12" s="101"/>
      <c r="HOM12" s="101"/>
      <c r="HON12" s="101"/>
      <c r="HOO12" s="101"/>
      <c r="HOP12" s="101"/>
      <c r="HOQ12" s="101"/>
      <c r="HOR12" s="101"/>
      <c r="HOS12" s="101"/>
      <c r="HOT12" s="101"/>
      <c r="HOU12" s="101"/>
      <c r="HOV12" s="101"/>
      <c r="HOW12" s="101"/>
      <c r="HOX12" s="101"/>
      <c r="HOY12" s="101"/>
      <c r="HOZ12" s="101"/>
      <c r="HPA12" s="101"/>
      <c r="HPB12" s="101"/>
      <c r="HPC12" s="101"/>
      <c r="HPD12" s="101"/>
      <c r="HPE12" s="101"/>
      <c r="HPF12" s="101"/>
      <c r="HPG12" s="101"/>
      <c r="HPH12" s="101"/>
      <c r="HPI12" s="101"/>
      <c r="HPJ12" s="101"/>
      <c r="HPK12" s="101"/>
      <c r="HPL12" s="101"/>
      <c r="HPM12" s="101"/>
      <c r="HPN12" s="101"/>
      <c r="HPO12" s="101"/>
      <c r="HPP12" s="101"/>
      <c r="HPQ12" s="101"/>
      <c r="HPR12" s="101"/>
      <c r="HPS12" s="101"/>
      <c r="HPT12" s="101"/>
      <c r="HPU12" s="101"/>
      <c r="HPV12" s="101"/>
      <c r="HPW12" s="101"/>
      <c r="HPX12" s="101"/>
      <c r="HPY12" s="101"/>
      <c r="HPZ12" s="101"/>
      <c r="HQA12" s="101"/>
      <c r="HQB12" s="101"/>
      <c r="HQC12" s="101"/>
      <c r="HQD12" s="101"/>
      <c r="HQE12" s="101"/>
      <c r="HQF12" s="101"/>
      <c r="HQG12" s="101"/>
      <c r="HQH12" s="101"/>
      <c r="HQI12" s="101"/>
      <c r="HQJ12" s="101"/>
      <c r="HQK12" s="101"/>
      <c r="HQL12" s="101"/>
      <c r="HQM12" s="101"/>
      <c r="HQN12" s="101"/>
      <c r="HQO12" s="101"/>
      <c r="HQP12" s="101"/>
      <c r="HQQ12" s="101"/>
      <c r="HQR12" s="101"/>
      <c r="HQS12" s="101"/>
      <c r="HQT12" s="101"/>
      <c r="HQU12" s="101"/>
      <c r="HQV12" s="101"/>
      <c r="HQW12" s="101"/>
      <c r="HQX12" s="101"/>
      <c r="HQY12" s="101"/>
      <c r="HQZ12" s="101"/>
      <c r="HRA12" s="101"/>
      <c r="HRB12" s="101"/>
      <c r="HRC12" s="101"/>
      <c r="HRD12" s="101"/>
      <c r="HRE12" s="101"/>
      <c r="HRF12" s="101"/>
      <c r="HRG12" s="101"/>
      <c r="HRH12" s="101"/>
      <c r="HRI12" s="101"/>
      <c r="HRJ12" s="101"/>
      <c r="HRK12" s="101"/>
      <c r="HRL12" s="101"/>
      <c r="HRM12" s="101"/>
      <c r="HRN12" s="101"/>
      <c r="HRO12" s="101"/>
      <c r="HRP12" s="101"/>
      <c r="HRQ12" s="101"/>
      <c r="HRR12" s="101"/>
      <c r="HRS12" s="101"/>
      <c r="HRT12" s="101"/>
      <c r="HRU12" s="101"/>
      <c r="HRV12" s="101"/>
      <c r="HRW12" s="101"/>
      <c r="HRX12" s="101"/>
      <c r="HRY12" s="101"/>
      <c r="HRZ12" s="101"/>
      <c r="HSA12" s="101"/>
      <c r="HSB12" s="101"/>
      <c r="HSC12" s="101"/>
      <c r="HSD12" s="101"/>
      <c r="HSE12" s="101"/>
      <c r="HSF12" s="101"/>
      <c r="HSG12" s="101"/>
      <c r="HSH12" s="101"/>
      <c r="HSI12" s="101"/>
      <c r="HSJ12" s="101"/>
      <c r="HSK12" s="101"/>
      <c r="HSL12" s="101"/>
      <c r="HSM12" s="101"/>
      <c r="HSN12" s="101"/>
      <c r="HSO12" s="101"/>
      <c r="HSP12" s="101"/>
      <c r="HSQ12" s="101"/>
      <c r="HSR12" s="101"/>
      <c r="HSS12" s="101"/>
      <c r="HST12" s="101"/>
      <c r="HSU12" s="101"/>
      <c r="HSV12" s="101"/>
      <c r="HSW12" s="101"/>
      <c r="HSX12" s="101"/>
      <c r="HSY12" s="101"/>
      <c r="HSZ12" s="101"/>
      <c r="HTA12" s="101"/>
      <c r="HTB12" s="101"/>
      <c r="HTC12" s="101"/>
      <c r="HTD12" s="101"/>
      <c r="HTE12" s="101"/>
      <c r="HTF12" s="101"/>
      <c r="HTG12" s="101"/>
      <c r="HTH12" s="101"/>
      <c r="HTI12" s="101"/>
      <c r="HTJ12" s="101"/>
      <c r="HTK12" s="101"/>
      <c r="HTL12" s="101"/>
      <c r="HTM12" s="101"/>
      <c r="HTN12" s="101"/>
      <c r="HTO12" s="101"/>
      <c r="HTP12" s="101"/>
      <c r="HTQ12" s="101"/>
      <c r="HTR12" s="101"/>
      <c r="HTS12" s="101"/>
      <c r="HTT12" s="101"/>
      <c r="HTU12" s="101"/>
      <c r="HTV12" s="101"/>
      <c r="HTW12" s="101"/>
      <c r="HTX12" s="101"/>
      <c r="HTY12" s="101"/>
      <c r="HTZ12" s="101"/>
      <c r="HUA12" s="101"/>
      <c r="HUB12" s="101"/>
      <c r="HUC12" s="101"/>
      <c r="HUD12" s="101"/>
      <c r="HUE12" s="101"/>
      <c r="HUF12" s="101"/>
      <c r="HUG12" s="101"/>
      <c r="HUH12" s="101"/>
      <c r="HUI12" s="101"/>
      <c r="HUJ12" s="101"/>
      <c r="HUK12" s="101"/>
      <c r="HUL12" s="101"/>
      <c r="HUM12" s="101"/>
      <c r="HUN12" s="101"/>
      <c r="HUO12" s="101"/>
      <c r="HUP12" s="101"/>
      <c r="HUQ12" s="101"/>
      <c r="HUR12" s="101"/>
      <c r="HUS12" s="101"/>
      <c r="HUT12" s="101"/>
      <c r="HUU12" s="101"/>
      <c r="HUV12" s="101"/>
      <c r="HUW12" s="101"/>
      <c r="HUX12" s="101"/>
      <c r="HUY12" s="101"/>
      <c r="HUZ12" s="101"/>
      <c r="HVA12" s="101"/>
      <c r="HVB12" s="101"/>
      <c r="HVC12" s="101"/>
      <c r="HVD12" s="101"/>
      <c r="HVE12" s="101"/>
      <c r="HVF12" s="101"/>
      <c r="HVG12" s="101"/>
      <c r="HVH12" s="101"/>
      <c r="HVI12" s="101"/>
      <c r="HVJ12" s="101"/>
      <c r="HVK12" s="101"/>
      <c r="HVL12" s="101"/>
      <c r="HVM12" s="101"/>
      <c r="HVN12" s="101"/>
      <c r="HVO12" s="101"/>
      <c r="HVP12" s="101"/>
      <c r="HVQ12" s="101"/>
      <c r="HVR12" s="101"/>
      <c r="HVS12" s="101"/>
      <c r="HVT12" s="101"/>
      <c r="HVU12" s="101"/>
      <c r="HVV12" s="101"/>
      <c r="HVW12" s="101"/>
      <c r="HVX12" s="101"/>
      <c r="HVY12" s="101"/>
      <c r="HVZ12" s="101"/>
      <c r="HWA12" s="101"/>
      <c r="HWB12" s="101"/>
      <c r="HWC12" s="101"/>
      <c r="HWD12" s="101"/>
      <c r="HWE12" s="101"/>
      <c r="HWF12" s="101"/>
      <c r="HWG12" s="101"/>
      <c r="HWH12" s="101"/>
      <c r="HWI12" s="101"/>
      <c r="HWJ12" s="101"/>
      <c r="HWK12" s="101"/>
      <c r="HWL12" s="101"/>
      <c r="HWM12" s="101"/>
      <c r="HWN12" s="101"/>
      <c r="HWO12" s="101"/>
      <c r="HWP12" s="101"/>
      <c r="HWQ12" s="101"/>
      <c r="HWR12" s="101"/>
      <c r="HWS12" s="101"/>
      <c r="HWT12" s="101"/>
      <c r="HWU12" s="101"/>
      <c r="HWV12" s="101"/>
      <c r="HWW12" s="101"/>
      <c r="HWX12" s="101"/>
      <c r="HWY12" s="101"/>
      <c r="HWZ12" s="101"/>
      <c r="HXA12" s="101"/>
      <c r="HXB12" s="101"/>
      <c r="HXC12" s="101"/>
      <c r="HXD12" s="101"/>
      <c r="HXE12" s="101"/>
      <c r="HXF12" s="101"/>
      <c r="HXG12" s="101"/>
      <c r="HXH12" s="101"/>
      <c r="HXI12" s="101"/>
      <c r="HXJ12" s="101"/>
      <c r="HXK12" s="101"/>
      <c r="HXL12" s="101"/>
      <c r="HXM12" s="101"/>
      <c r="HXN12" s="101"/>
      <c r="HXO12" s="101"/>
      <c r="HXP12" s="101"/>
      <c r="HXQ12" s="101"/>
      <c r="HXR12" s="101"/>
      <c r="HXS12" s="101"/>
      <c r="HXT12" s="101"/>
      <c r="HXU12" s="101"/>
      <c r="HXV12" s="101"/>
      <c r="HXW12" s="101"/>
      <c r="HXX12" s="101"/>
      <c r="HXY12" s="101"/>
      <c r="HXZ12" s="101"/>
      <c r="HYA12" s="101"/>
      <c r="HYB12" s="101"/>
      <c r="HYC12" s="101"/>
      <c r="HYD12" s="101"/>
      <c r="HYE12" s="101"/>
      <c r="HYF12" s="101"/>
      <c r="HYG12" s="101"/>
      <c r="HYH12" s="101"/>
      <c r="HYI12" s="101"/>
      <c r="HYJ12" s="101"/>
      <c r="HYK12" s="101"/>
      <c r="HYL12" s="101"/>
      <c r="HYM12" s="101"/>
      <c r="HYN12" s="101"/>
      <c r="HYO12" s="101"/>
      <c r="HYP12" s="101"/>
      <c r="HYQ12" s="101"/>
      <c r="HYR12" s="101"/>
      <c r="HYS12" s="101"/>
      <c r="HYT12" s="101"/>
      <c r="HYU12" s="101"/>
      <c r="HYV12" s="101"/>
      <c r="HYW12" s="101"/>
      <c r="HYX12" s="101"/>
      <c r="HYY12" s="101"/>
      <c r="HYZ12" s="101"/>
      <c r="HZA12" s="101"/>
      <c r="HZB12" s="101"/>
      <c r="HZC12" s="101"/>
      <c r="HZD12" s="101"/>
      <c r="HZE12" s="101"/>
      <c r="HZF12" s="101"/>
      <c r="HZG12" s="101"/>
      <c r="HZH12" s="101"/>
      <c r="HZI12" s="101"/>
      <c r="HZJ12" s="101"/>
      <c r="HZK12" s="101"/>
      <c r="HZL12" s="101"/>
      <c r="HZM12" s="101"/>
      <c r="HZN12" s="101"/>
      <c r="HZO12" s="101"/>
      <c r="HZP12" s="101"/>
      <c r="HZQ12" s="101"/>
      <c r="HZR12" s="101"/>
      <c r="HZS12" s="101"/>
      <c r="HZT12" s="101"/>
      <c r="HZU12" s="101"/>
      <c r="HZV12" s="101"/>
      <c r="HZW12" s="101"/>
      <c r="HZX12" s="101"/>
      <c r="HZY12" s="101"/>
      <c r="HZZ12" s="101"/>
      <c r="IAA12" s="101"/>
      <c r="IAB12" s="101"/>
      <c r="IAC12" s="101"/>
      <c r="IAD12" s="101"/>
      <c r="IAE12" s="101"/>
      <c r="IAF12" s="101"/>
      <c r="IAG12" s="101"/>
      <c r="IAH12" s="101"/>
      <c r="IAI12" s="101"/>
      <c r="IAJ12" s="101"/>
      <c r="IAK12" s="101"/>
      <c r="IAL12" s="101"/>
      <c r="IAM12" s="101"/>
      <c r="IAN12" s="101"/>
      <c r="IAO12" s="101"/>
      <c r="IAP12" s="101"/>
      <c r="IAQ12" s="101"/>
      <c r="IAR12" s="101"/>
      <c r="IAS12" s="101"/>
      <c r="IAT12" s="101"/>
      <c r="IAU12" s="101"/>
      <c r="IAV12" s="101"/>
      <c r="IAW12" s="101"/>
      <c r="IAX12" s="101"/>
      <c r="IAY12" s="101"/>
      <c r="IAZ12" s="101"/>
      <c r="IBA12" s="101"/>
      <c r="IBB12" s="101"/>
      <c r="IBC12" s="101"/>
      <c r="IBD12" s="101"/>
      <c r="IBE12" s="101"/>
      <c r="IBF12" s="101"/>
      <c r="IBG12" s="101"/>
      <c r="IBH12" s="101"/>
      <c r="IBI12" s="101"/>
      <c r="IBJ12" s="101"/>
      <c r="IBK12" s="101"/>
      <c r="IBL12" s="101"/>
      <c r="IBM12" s="101"/>
      <c r="IBN12" s="101"/>
      <c r="IBO12" s="101"/>
      <c r="IBP12" s="101"/>
      <c r="IBQ12" s="101"/>
      <c r="IBR12" s="101"/>
      <c r="IBS12" s="101"/>
      <c r="IBT12" s="101"/>
      <c r="IBU12" s="101"/>
      <c r="IBV12" s="101"/>
      <c r="IBW12" s="101"/>
      <c r="IBX12" s="101"/>
      <c r="IBY12" s="101"/>
      <c r="IBZ12" s="101"/>
      <c r="ICA12" s="101"/>
      <c r="ICB12" s="101"/>
      <c r="ICC12" s="101"/>
      <c r="ICD12" s="101"/>
      <c r="ICE12" s="101"/>
      <c r="ICF12" s="101"/>
      <c r="ICG12" s="101"/>
      <c r="ICH12" s="101"/>
      <c r="ICI12" s="101"/>
      <c r="ICJ12" s="101"/>
      <c r="ICK12" s="101"/>
      <c r="ICL12" s="101"/>
      <c r="ICM12" s="101"/>
      <c r="ICN12" s="101"/>
      <c r="ICO12" s="101"/>
      <c r="ICP12" s="101"/>
      <c r="ICQ12" s="101"/>
      <c r="ICR12" s="101"/>
      <c r="ICS12" s="101"/>
      <c r="ICT12" s="101"/>
      <c r="ICU12" s="101"/>
      <c r="ICV12" s="101"/>
      <c r="ICW12" s="101"/>
      <c r="ICX12" s="101"/>
      <c r="ICY12" s="101"/>
      <c r="ICZ12" s="101"/>
      <c r="IDA12" s="101"/>
      <c r="IDB12" s="101"/>
      <c r="IDC12" s="101"/>
      <c r="IDD12" s="101"/>
      <c r="IDE12" s="101"/>
      <c r="IDF12" s="101"/>
      <c r="IDG12" s="101"/>
      <c r="IDH12" s="101"/>
      <c r="IDI12" s="101"/>
      <c r="IDJ12" s="101"/>
      <c r="IDK12" s="101"/>
      <c r="IDL12" s="101"/>
      <c r="IDM12" s="101"/>
      <c r="IDN12" s="101"/>
      <c r="IDO12" s="101"/>
      <c r="IDP12" s="101"/>
      <c r="IDQ12" s="101"/>
      <c r="IDR12" s="101"/>
      <c r="IDS12" s="101"/>
      <c r="IDT12" s="101"/>
      <c r="IDU12" s="101"/>
      <c r="IDV12" s="101"/>
      <c r="IDW12" s="101"/>
      <c r="IDX12" s="101"/>
      <c r="IDY12" s="101"/>
      <c r="IDZ12" s="101"/>
      <c r="IEA12" s="101"/>
      <c r="IEB12" s="101"/>
      <c r="IEC12" s="101"/>
      <c r="IED12" s="101"/>
      <c r="IEE12" s="101"/>
      <c r="IEF12" s="101"/>
      <c r="IEG12" s="101"/>
      <c r="IEH12" s="101"/>
      <c r="IEI12" s="101"/>
      <c r="IEJ12" s="101"/>
      <c r="IEK12" s="101"/>
      <c r="IEL12" s="101"/>
      <c r="IEM12" s="101"/>
      <c r="IEN12" s="101"/>
      <c r="IEO12" s="101"/>
      <c r="IEP12" s="101"/>
      <c r="IEQ12" s="101"/>
      <c r="IER12" s="101"/>
      <c r="IES12" s="101"/>
      <c r="IET12" s="101"/>
      <c r="IEU12" s="101"/>
      <c r="IEV12" s="101"/>
      <c r="IEW12" s="101"/>
      <c r="IEX12" s="101"/>
      <c r="IEY12" s="101"/>
      <c r="IEZ12" s="101"/>
      <c r="IFA12" s="101"/>
      <c r="IFB12" s="101"/>
      <c r="IFC12" s="101"/>
      <c r="IFD12" s="101"/>
      <c r="IFE12" s="101"/>
      <c r="IFF12" s="101"/>
      <c r="IFG12" s="101"/>
      <c r="IFH12" s="101"/>
      <c r="IFI12" s="101"/>
      <c r="IFJ12" s="101"/>
      <c r="IFK12" s="101"/>
      <c r="IFL12" s="101"/>
      <c r="IFM12" s="101"/>
      <c r="IFN12" s="101"/>
      <c r="IFO12" s="101"/>
      <c r="IFP12" s="101"/>
      <c r="IFQ12" s="101"/>
      <c r="IFR12" s="101"/>
      <c r="IFS12" s="101"/>
      <c r="IFT12" s="101"/>
      <c r="IFU12" s="101"/>
      <c r="IFV12" s="101"/>
      <c r="IFW12" s="101"/>
      <c r="IFX12" s="101"/>
      <c r="IFY12" s="101"/>
      <c r="IFZ12" s="101"/>
      <c r="IGA12" s="101"/>
      <c r="IGB12" s="101"/>
      <c r="IGC12" s="101"/>
      <c r="IGD12" s="101"/>
      <c r="IGE12" s="101"/>
      <c r="IGF12" s="101"/>
      <c r="IGG12" s="101"/>
      <c r="IGH12" s="101"/>
      <c r="IGI12" s="101"/>
      <c r="IGJ12" s="101"/>
      <c r="IGK12" s="101"/>
      <c r="IGL12" s="101"/>
      <c r="IGM12" s="101"/>
      <c r="IGN12" s="101"/>
      <c r="IGO12" s="101"/>
      <c r="IGP12" s="101"/>
      <c r="IGQ12" s="101"/>
      <c r="IGR12" s="101"/>
      <c r="IGS12" s="101"/>
      <c r="IGT12" s="101"/>
      <c r="IGU12" s="101"/>
      <c r="IGV12" s="101"/>
      <c r="IGW12" s="101"/>
      <c r="IGX12" s="101"/>
      <c r="IGY12" s="101"/>
      <c r="IGZ12" s="101"/>
      <c r="IHA12" s="101"/>
      <c r="IHB12" s="101"/>
      <c r="IHC12" s="101"/>
      <c r="IHD12" s="101"/>
      <c r="IHE12" s="101"/>
      <c r="IHF12" s="101"/>
      <c r="IHG12" s="101"/>
      <c r="IHH12" s="101"/>
      <c r="IHI12" s="101"/>
      <c r="IHJ12" s="101"/>
      <c r="IHK12" s="101"/>
      <c r="IHL12" s="101"/>
      <c r="IHM12" s="101"/>
      <c r="IHN12" s="101"/>
      <c r="IHO12" s="101"/>
      <c r="IHP12" s="101"/>
      <c r="IHQ12" s="101"/>
      <c r="IHR12" s="101"/>
      <c r="IHS12" s="101"/>
      <c r="IHT12" s="101"/>
      <c r="IHU12" s="101"/>
      <c r="IHV12" s="101"/>
      <c r="IHW12" s="101"/>
      <c r="IHX12" s="101"/>
      <c r="IHY12" s="101"/>
      <c r="IHZ12" s="101"/>
      <c r="IIA12" s="101"/>
      <c r="IIB12" s="101"/>
      <c r="IIC12" s="101"/>
      <c r="IID12" s="101"/>
      <c r="IIE12" s="101"/>
      <c r="IIF12" s="101"/>
      <c r="IIG12" s="101"/>
      <c r="IIH12" s="101"/>
      <c r="III12" s="101"/>
      <c r="IIJ12" s="101"/>
      <c r="IIK12" s="101"/>
      <c r="IIL12" s="101"/>
      <c r="IIM12" s="101"/>
      <c r="IIN12" s="101"/>
      <c r="IIO12" s="101"/>
      <c r="IIP12" s="101"/>
      <c r="IIQ12" s="101"/>
      <c r="IIR12" s="101"/>
      <c r="IIS12" s="101"/>
      <c r="IIT12" s="101"/>
      <c r="IIU12" s="101"/>
      <c r="IIV12" s="101"/>
      <c r="IIW12" s="101"/>
      <c r="IIX12" s="101"/>
      <c r="IIY12" s="101"/>
      <c r="IIZ12" s="101"/>
      <c r="IJA12" s="101"/>
      <c r="IJB12" s="101"/>
      <c r="IJC12" s="101"/>
      <c r="IJD12" s="101"/>
      <c r="IJE12" s="101"/>
      <c r="IJF12" s="101"/>
      <c r="IJG12" s="101"/>
      <c r="IJH12" s="101"/>
      <c r="IJI12" s="101"/>
      <c r="IJJ12" s="101"/>
      <c r="IJK12" s="101"/>
      <c r="IJL12" s="101"/>
      <c r="IJM12" s="101"/>
      <c r="IJN12" s="101"/>
      <c r="IJO12" s="101"/>
      <c r="IJP12" s="101"/>
      <c r="IJQ12" s="101"/>
      <c r="IJR12" s="101"/>
      <c r="IJS12" s="101"/>
      <c r="IJT12" s="101"/>
      <c r="IJU12" s="101"/>
      <c r="IJV12" s="101"/>
      <c r="IJW12" s="101"/>
      <c r="IJX12" s="101"/>
      <c r="IJY12" s="101"/>
      <c r="IJZ12" s="101"/>
      <c r="IKA12" s="101"/>
      <c r="IKB12" s="101"/>
      <c r="IKC12" s="101"/>
      <c r="IKD12" s="101"/>
      <c r="IKE12" s="101"/>
      <c r="IKF12" s="101"/>
      <c r="IKG12" s="101"/>
      <c r="IKH12" s="101"/>
      <c r="IKI12" s="101"/>
      <c r="IKJ12" s="101"/>
      <c r="IKK12" s="101"/>
      <c r="IKL12" s="101"/>
      <c r="IKM12" s="101"/>
      <c r="IKN12" s="101"/>
      <c r="IKO12" s="101"/>
      <c r="IKP12" s="101"/>
      <c r="IKQ12" s="101"/>
      <c r="IKR12" s="101"/>
      <c r="IKS12" s="101"/>
      <c r="IKT12" s="101"/>
      <c r="IKU12" s="101"/>
      <c r="IKV12" s="101"/>
      <c r="IKW12" s="101"/>
      <c r="IKX12" s="101"/>
      <c r="IKY12" s="101"/>
      <c r="IKZ12" s="101"/>
      <c r="ILA12" s="101"/>
      <c r="ILB12" s="101"/>
      <c r="ILC12" s="101"/>
      <c r="ILD12" s="101"/>
      <c r="ILE12" s="101"/>
      <c r="ILF12" s="101"/>
      <c r="ILG12" s="101"/>
      <c r="ILH12" s="101"/>
      <c r="ILI12" s="101"/>
      <c r="ILJ12" s="101"/>
      <c r="ILK12" s="101"/>
      <c r="ILL12" s="101"/>
      <c r="ILM12" s="101"/>
      <c r="ILN12" s="101"/>
      <c r="ILO12" s="101"/>
      <c r="ILP12" s="101"/>
      <c r="ILQ12" s="101"/>
      <c r="ILR12" s="101"/>
      <c r="ILS12" s="101"/>
      <c r="ILT12" s="101"/>
      <c r="ILU12" s="101"/>
      <c r="ILV12" s="101"/>
      <c r="ILW12" s="101"/>
      <c r="ILX12" s="101"/>
      <c r="ILY12" s="101"/>
      <c r="ILZ12" s="101"/>
      <c r="IMA12" s="101"/>
      <c r="IMB12" s="101"/>
      <c r="IMC12" s="101"/>
      <c r="IMD12" s="101"/>
      <c r="IME12" s="101"/>
      <c r="IMF12" s="101"/>
      <c r="IMG12" s="101"/>
      <c r="IMH12" s="101"/>
      <c r="IMI12" s="101"/>
      <c r="IMJ12" s="101"/>
      <c r="IMK12" s="101"/>
      <c r="IML12" s="101"/>
      <c r="IMM12" s="101"/>
      <c r="IMN12" s="101"/>
      <c r="IMO12" s="101"/>
      <c r="IMP12" s="101"/>
      <c r="IMQ12" s="101"/>
      <c r="IMR12" s="101"/>
      <c r="IMS12" s="101"/>
      <c r="IMT12" s="101"/>
      <c r="IMU12" s="101"/>
      <c r="IMV12" s="101"/>
      <c r="IMW12" s="101"/>
      <c r="IMX12" s="101"/>
      <c r="IMY12" s="101"/>
      <c r="IMZ12" s="101"/>
      <c r="INA12" s="101"/>
      <c r="INB12" s="101"/>
      <c r="INC12" s="101"/>
      <c r="IND12" s="101"/>
      <c r="INE12" s="101"/>
      <c r="INF12" s="101"/>
      <c r="ING12" s="101"/>
      <c r="INH12" s="101"/>
      <c r="INI12" s="101"/>
      <c r="INJ12" s="101"/>
      <c r="INK12" s="101"/>
      <c r="INL12" s="101"/>
      <c r="INM12" s="101"/>
      <c r="INN12" s="101"/>
      <c r="INO12" s="101"/>
      <c r="INP12" s="101"/>
      <c r="INQ12" s="101"/>
      <c r="INR12" s="101"/>
      <c r="INS12" s="101"/>
      <c r="INT12" s="101"/>
      <c r="INU12" s="101"/>
      <c r="INV12" s="101"/>
      <c r="INW12" s="101"/>
      <c r="INX12" s="101"/>
      <c r="INY12" s="101"/>
      <c r="INZ12" s="101"/>
      <c r="IOA12" s="101"/>
      <c r="IOB12" s="101"/>
      <c r="IOC12" s="101"/>
      <c r="IOD12" s="101"/>
      <c r="IOE12" s="101"/>
      <c r="IOF12" s="101"/>
      <c r="IOG12" s="101"/>
      <c r="IOH12" s="101"/>
      <c r="IOI12" s="101"/>
      <c r="IOJ12" s="101"/>
      <c r="IOK12" s="101"/>
      <c r="IOL12" s="101"/>
      <c r="IOM12" s="101"/>
      <c r="ION12" s="101"/>
      <c r="IOO12" s="101"/>
      <c r="IOP12" s="101"/>
      <c r="IOQ12" s="101"/>
      <c r="IOR12" s="101"/>
      <c r="IOS12" s="101"/>
      <c r="IOT12" s="101"/>
      <c r="IOU12" s="101"/>
      <c r="IOV12" s="101"/>
      <c r="IOW12" s="101"/>
      <c r="IOX12" s="101"/>
      <c r="IOY12" s="101"/>
      <c r="IOZ12" s="101"/>
      <c r="IPA12" s="101"/>
      <c r="IPB12" s="101"/>
      <c r="IPC12" s="101"/>
      <c r="IPD12" s="101"/>
      <c r="IPE12" s="101"/>
      <c r="IPF12" s="101"/>
      <c r="IPG12" s="101"/>
      <c r="IPH12" s="101"/>
      <c r="IPI12" s="101"/>
      <c r="IPJ12" s="101"/>
      <c r="IPK12" s="101"/>
      <c r="IPL12" s="101"/>
      <c r="IPM12" s="101"/>
      <c r="IPN12" s="101"/>
      <c r="IPO12" s="101"/>
      <c r="IPP12" s="101"/>
      <c r="IPQ12" s="101"/>
      <c r="IPR12" s="101"/>
      <c r="IPS12" s="101"/>
      <c r="IPT12" s="101"/>
      <c r="IPU12" s="101"/>
      <c r="IPV12" s="101"/>
      <c r="IPW12" s="101"/>
      <c r="IPX12" s="101"/>
      <c r="IPY12" s="101"/>
      <c r="IPZ12" s="101"/>
      <c r="IQA12" s="101"/>
      <c r="IQB12" s="101"/>
      <c r="IQC12" s="101"/>
      <c r="IQD12" s="101"/>
      <c r="IQE12" s="101"/>
      <c r="IQF12" s="101"/>
      <c r="IQG12" s="101"/>
      <c r="IQH12" s="101"/>
      <c r="IQI12" s="101"/>
      <c r="IQJ12" s="101"/>
      <c r="IQK12" s="101"/>
      <c r="IQL12" s="101"/>
      <c r="IQM12" s="101"/>
      <c r="IQN12" s="101"/>
      <c r="IQO12" s="101"/>
      <c r="IQP12" s="101"/>
      <c r="IQQ12" s="101"/>
      <c r="IQR12" s="101"/>
      <c r="IQS12" s="101"/>
      <c r="IQT12" s="101"/>
      <c r="IQU12" s="101"/>
      <c r="IQV12" s="101"/>
      <c r="IQW12" s="101"/>
      <c r="IQX12" s="101"/>
      <c r="IQY12" s="101"/>
      <c r="IQZ12" s="101"/>
      <c r="IRA12" s="101"/>
      <c r="IRB12" s="101"/>
      <c r="IRC12" s="101"/>
      <c r="IRD12" s="101"/>
      <c r="IRE12" s="101"/>
      <c r="IRF12" s="101"/>
      <c r="IRG12" s="101"/>
      <c r="IRH12" s="101"/>
      <c r="IRI12" s="101"/>
      <c r="IRJ12" s="101"/>
      <c r="IRK12" s="101"/>
      <c r="IRL12" s="101"/>
      <c r="IRM12" s="101"/>
      <c r="IRN12" s="101"/>
      <c r="IRO12" s="101"/>
      <c r="IRP12" s="101"/>
      <c r="IRQ12" s="101"/>
      <c r="IRR12" s="101"/>
      <c r="IRS12" s="101"/>
      <c r="IRT12" s="101"/>
      <c r="IRU12" s="101"/>
      <c r="IRV12" s="101"/>
      <c r="IRW12" s="101"/>
      <c r="IRX12" s="101"/>
      <c r="IRY12" s="101"/>
      <c r="IRZ12" s="101"/>
      <c r="ISA12" s="101"/>
      <c r="ISB12" s="101"/>
      <c r="ISC12" s="101"/>
      <c r="ISD12" s="101"/>
      <c r="ISE12" s="101"/>
      <c r="ISF12" s="101"/>
      <c r="ISG12" s="101"/>
      <c r="ISH12" s="101"/>
      <c r="ISI12" s="101"/>
      <c r="ISJ12" s="101"/>
      <c r="ISK12" s="101"/>
      <c r="ISL12" s="101"/>
      <c r="ISM12" s="101"/>
      <c r="ISN12" s="101"/>
      <c r="ISO12" s="101"/>
      <c r="ISP12" s="101"/>
      <c r="ISQ12" s="101"/>
      <c r="ISR12" s="101"/>
      <c r="ISS12" s="101"/>
      <c r="IST12" s="101"/>
      <c r="ISU12" s="101"/>
      <c r="ISV12" s="101"/>
      <c r="ISW12" s="101"/>
      <c r="ISX12" s="101"/>
      <c r="ISY12" s="101"/>
      <c r="ISZ12" s="101"/>
      <c r="ITA12" s="101"/>
      <c r="ITB12" s="101"/>
      <c r="ITC12" s="101"/>
      <c r="ITD12" s="101"/>
      <c r="ITE12" s="101"/>
      <c r="ITF12" s="101"/>
      <c r="ITG12" s="101"/>
      <c r="ITH12" s="101"/>
      <c r="ITI12" s="101"/>
      <c r="ITJ12" s="101"/>
      <c r="ITK12" s="101"/>
      <c r="ITL12" s="101"/>
      <c r="ITM12" s="101"/>
      <c r="ITN12" s="101"/>
      <c r="ITO12" s="101"/>
      <c r="ITP12" s="101"/>
      <c r="ITQ12" s="101"/>
      <c r="ITR12" s="101"/>
      <c r="ITS12" s="101"/>
      <c r="ITT12" s="101"/>
      <c r="ITU12" s="101"/>
      <c r="ITV12" s="101"/>
      <c r="ITW12" s="101"/>
      <c r="ITX12" s="101"/>
      <c r="ITY12" s="101"/>
      <c r="ITZ12" s="101"/>
      <c r="IUA12" s="101"/>
      <c r="IUB12" s="101"/>
      <c r="IUC12" s="101"/>
      <c r="IUD12" s="101"/>
      <c r="IUE12" s="101"/>
      <c r="IUF12" s="101"/>
      <c r="IUG12" s="101"/>
      <c r="IUH12" s="101"/>
      <c r="IUI12" s="101"/>
      <c r="IUJ12" s="101"/>
      <c r="IUK12" s="101"/>
      <c r="IUL12" s="101"/>
      <c r="IUM12" s="101"/>
      <c r="IUN12" s="101"/>
      <c r="IUO12" s="101"/>
      <c r="IUP12" s="101"/>
      <c r="IUQ12" s="101"/>
      <c r="IUR12" s="101"/>
      <c r="IUS12" s="101"/>
      <c r="IUT12" s="101"/>
      <c r="IUU12" s="101"/>
      <c r="IUV12" s="101"/>
      <c r="IUW12" s="101"/>
      <c r="IUX12" s="101"/>
      <c r="IUY12" s="101"/>
      <c r="IUZ12" s="101"/>
      <c r="IVA12" s="101"/>
      <c r="IVB12" s="101"/>
      <c r="IVC12" s="101"/>
      <c r="IVD12" s="101"/>
      <c r="IVE12" s="101"/>
      <c r="IVF12" s="101"/>
      <c r="IVG12" s="101"/>
      <c r="IVH12" s="101"/>
      <c r="IVI12" s="101"/>
      <c r="IVJ12" s="101"/>
      <c r="IVK12" s="101"/>
      <c r="IVL12" s="101"/>
      <c r="IVM12" s="101"/>
      <c r="IVN12" s="101"/>
      <c r="IVO12" s="101"/>
      <c r="IVP12" s="101"/>
      <c r="IVQ12" s="101"/>
      <c r="IVR12" s="101"/>
      <c r="IVS12" s="101"/>
      <c r="IVT12" s="101"/>
      <c r="IVU12" s="101"/>
      <c r="IVV12" s="101"/>
      <c r="IVW12" s="101"/>
      <c r="IVX12" s="101"/>
      <c r="IVY12" s="101"/>
      <c r="IVZ12" s="101"/>
      <c r="IWA12" s="101"/>
      <c r="IWB12" s="101"/>
      <c r="IWC12" s="101"/>
      <c r="IWD12" s="101"/>
      <c r="IWE12" s="101"/>
      <c r="IWF12" s="101"/>
      <c r="IWG12" s="101"/>
      <c r="IWH12" s="101"/>
      <c r="IWI12" s="101"/>
      <c r="IWJ12" s="101"/>
      <c r="IWK12" s="101"/>
      <c r="IWL12" s="101"/>
      <c r="IWM12" s="101"/>
      <c r="IWN12" s="101"/>
      <c r="IWO12" s="101"/>
      <c r="IWP12" s="101"/>
      <c r="IWQ12" s="101"/>
      <c r="IWR12" s="101"/>
      <c r="IWS12" s="101"/>
      <c r="IWT12" s="101"/>
      <c r="IWU12" s="101"/>
      <c r="IWV12" s="101"/>
      <c r="IWW12" s="101"/>
      <c r="IWX12" s="101"/>
      <c r="IWY12" s="101"/>
      <c r="IWZ12" s="101"/>
      <c r="IXA12" s="101"/>
      <c r="IXB12" s="101"/>
      <c r="IXC12" s="101"/>
      <c r="IXD12" s="101"/>
      <c r="IXE12" s="101"/>
      <c r="IXF12" s="101"/>
      <c r="IXG12" s="101"/>
      <c r="IXH12" s="101"/>
      <c r="IXI12" s="101"/>
      <c r="IXJ12" s="101"/>
      <c r="IXK12" s="101"/>
      <c r="IXL12" s="101"/>
      <c r="IXM12" s="101"/>
      <c r="IXN12" s="101"/>
      <c r="IXO12" s="101"/>
      <c r="IXP12" s="101"/>
      <c r="IXQ12" s="101"/>
      <c r="IXR12" s="101"/>
      <c r="IXS12" s="101"/>
      <c r="IXT12" s="101"/>
      <c r="IXU12" s="101"/>
      <c r="IXV12" s="101"/>
      <c r="IXW12" s="101"/>
      <c r="IXX12" s="101"/>
      <c r="IXY12" s="101"/>
      <c r="IXZ12" s="101"/>
      <c r="IYA12" s="101"/>
      <c r="IYB12" s="101"/>
      <c r="IYC12" s="101"/>
      <c r="IYD12" s="101"/>
      <c r="IYE12" s="101"/>
      <c r="IYF12" s="101"/>
      <c r="IYG12" s="101"/>
      <c r="IYH12" s="101"/>
      <c r="IYI12" s="101"/>
      <c r="IYJ12" s="101"/>
      <c r="IYK12" s="101"/>
      <c r="IYL12" s="101"/>
      <c r="IYM12" s="101"/>
      <c r="IYN12" s="101"/>
      <c r="IYO12" s="101"/>
      <c r="IYP12" s="101"/>
      <c r="IYQ12" s="101"/>
      <c r="IYR12" s="101"/>
      <c r="IYS12" s="101"/>
      <c r="IYT12" s="101"/>
      <c r="IYU12" s="101"/>
      <c r="IYV12" s="101"/>
      <c r="IYW12" s="101"/>
      <c r="IYX12" s="101"/>
      <c r="IYY12" s="101"/>
      <c r="IYZ12" s="101"/>
      <c r="IZA12" s="101"/>
      <c r="IZB12" s="101"/>
      <c r="IZC12" s="101"/>
      <c r="IZD12" s="101"/>
      <c r="IZE12" s="101"/>
      <c r="IZF12" s="101"/>
      <c r="IZG12" s="101"/>
      <c r="IZH12" s="101"/>
      <c r="IZI12" s="101"/>
      <c r="IZJ12" s="101"/>
      <c r="IZK12" s="101"/>
      <c r="IZL12" s="101"/>
      <c r="IZM12" s="101"/>
      <c r="IZN12" s="101"/>
      <c r="IZO12" s="101"/>
      <c r="IZP12" s="101"/>
      <c r="IZQ12" s="101"/>
      <c r="IZR12" s="101"/>
      <c r="IZS12" s="101"/>
      <c r="IZT12" s="101"/>
      <c r="IZU12" s="101"/>
      <c r="IZV12" s="101"/>
      <c r="IZW12" s="101"/>
      <c r="IZX12" s="101"/>
      <c r="IZY12" s="101"/>
      <c r="IZZ12" s="101"/>
      <c r="JAA12" s="101"/>
      <c r="JAB12" s="101"/>
      <c r="JAC12" s="101"/>
      <c r="JAD12" s="101"/>
      <c r="JAE12" s="101"/>
      <c r="JAF12" s="101"/>
      <c r="JAG12" s="101"/>
      <c r="JAH12" s="101"/>
      <c r="JAI12" s="101"/>
      <c r="JAJ12" s="101"/>
      <c r="JAK12" s="101"/>
      <c r="JAL12" s="101"/>
      <c r="JAM12" s="101"/>
      <c r="JAN12" s="101"/>
      <c r="JAO12" s="101"/>
      <c r="JAP12" s="101"/>
      <c r="JAQ12" s="101"/>
      <c r="JAR12" s="101"/>
      <c r="JAS12" s="101"/>
      <c r="JAT12" s="101"/>
      <c r="JAU12" s="101"/>
      <c r="JAV12" s="101"/>
      <c r="JAW12" s="101"/>
      <c r="JAX12" s="101"/>
      <c r="JAY12" s="101"/>
      <c r="JAZ12" s="101"/>
      <c r="JBA12" s="101"/>
      <c r="JBB12" s="101"/>
      <c r="JBC12" s="101"/>
      <c r="JBD12" s="101"/>
      <c r="JBE12" s="101"/>
      <c r="JBF12" s="101"/>
      <c r="JBG12" s="101"/>
      <c r="JBH12" s="101"/>
      <c r="JBI12" s="101"/>
      <c r="JBJ12" s="101"/>
      <c r="JBK12" s="101"/>
      <c r="JBL12" s="101"/>
      <c r="JBM12" s="101"/>
      <c r="JBN12" s="101"/>
      <c r="JBO12" s="101"/>
      <c r="JBP12" s="101"/>
      <c r="JBQ12" s="101"/>
      <c r="JBR12" s="101"/>
      <c r="JBS12" s="101"/>
      <c r="JBT12" s="101"/>
      <c r="JBU12" s="101"/>
      <c r="JBV12" s="101"/>
      <c r="JBW12" s="101"/>
      <c r="JBX12" s="101"/>
      <c r="JBY12" s="101"/>
      <c r="JBZ12" s="101"/>
      <c r="JCA12" s="101"/>
      <c r="JCB12" s="101"/>
      <c r="JCC12" s="101"/>
      <c r="JCD12" s="101"/>
      <c r="JCE12" s="101"/>
      <c r="JCF12" s="101"/>
      <c r="JCG12" s="101"/>
      <c r="JCH12" s="101"/>
      <c r="JCI12" s="101"/>
      <c r="JCJ12" s="101"/>
      <c r="JCK12" s="101"/>
      <c r="JCL12" s="101"/>
      <c r="JCM12" s="101"/>
      <c r="JCN12" s="101"/>
      <c r="JCO12" s="101"/>
      <c r="JCP12" s="101"/>
      <c r="JCQ12" s="101"/>
      <c r="JCR12" s="101"/>
      <c r="JCS12" s="101"/>
      <c r="JCT12" s="101"/>
      <c r="JCU12" s="101"/>
      <c r="JCV12" s="101"/>
      <c r="JCW12" s="101"/>
      <c r="JCX12" s="101"/>
      <c r="JCY12" s="101"/>
      <c r="JCZ12" s="101"/>
      <c r="JDA12" s="101"/>
      <c r="JDB12" s="101"/>
      <c r="JDC12" s="101"/>
      <c r="JDD12" s="101"/>
      <c r="JDE12" s="101"/>
      <c r="JDF12" s="101"/>
      <c r="JDG12" s="101"/>
      <c r="JDH12" s="101"/>
      <c r="JDI12" s="101"/>
      <c r="JDJ12" s="101"/>
      <c r="JDK12" s="101"/>
      <c r="JDL12" s="101"/>
      <c r="JDM12" s="101"/>
      <c r="JDN12" s="101"/>
      <c r="JDO12" s="101"/>
      <c r="JDP12" s="101"/>
      <c r="JDQ12" s="101"/>
      <c r="JDR12" s="101"/>
      <c r="JDS12" s="101"/>
      <c r="JDT12" s="101"/>
      <c r="JDU12" s="101"/>
      <c r="JDV12" s="101"/>
      <c r="JDW12" s="101"/>
      <c r="JDX12" s="101"/>
      <c r="JDY12" s="101"/>
      <c r="JDZ12" s="101"/>
      <c r="JEA12" s="101"/>
      <c r="JEB12" s="101"/>
      <c r="JEC12" s="101"/>
      <c r="JED12" s="101"/>
      <c r="JEE12" s="101"/>
      <c r="JEF12" s="101"/>
      <c r="JEG12" s="101"/>
      <c r="JEH12" s="101"/>
      <c r="JEI12" s="101"/>
      <c r="JEJ12" s="101"/>
      <c r="JEK12" s="101"/>
      <c r="JEL12" s="101"/>
      <c r="JEM12" s="101"/>
      <c r="JEN12" s="101"/>
      <c r="JEO12" s="101"/>
      <c r="JEP12" s="101"/>
      <c r="JEQ12" s="101"/>
      <c r="JER12" s="101"/>
      <c r="JES12" s="101"/>
      <c r="JET12" s="101"/>
      <c r="JEU12" s="101"/>
      <c r="JEV12" s="101"/>
      <c r="JEW12" s="101"/>
      <c r="JEX12" s="101"/>
      <c r="JEY12" s="101"/>
      <c r="JEZ12" s="101"/>
      <c r="JFA12" s="101"/>
      <c r="JFB12" s="101"/>
      <c r="JFC12" s="101"/>
      <c r="JFD12" s="101"/>
      <c r="JFE12" s="101"/>
      <c r="JFF12" s="101"/>
      <c r="JFG12" s="101"/>
      <c r="JFH12" s="101"/>
      <c r="JFI12" s="101"/>
      <c r="JFJ12" s="101"/>
      <c r="JFK12" s="101"/>
      <c r="JFL12" s="101"/>
      <c r="JFM12" s="101"/>
      <c r="JFN12" s="101"/>
      <c r="JFO12" s="101"/>
      <c r="JFP12" s="101"/>
      <c r="JFQ12" s="101"/>
      <c r="JFR12" s="101"/>
      <c r="JFS12" s="101"/>
      <c r="JFT12" s="101"/>
      <c r="JFU12" s="101"/>
      <c r="JFV12" s="101"/>
      <c r="JFW12" s="101"/>
      <c r="JFX12" s="101"/>
      <c r="JFY12" s="101"/>
      <c r="JFZ12" s="101"/>
      <c r="JGA12" s="101"/>
      <c r="JGB12" s="101"/>
      <c r="JGC12" s="101"/>
      <c r="JGD12" s="101"/>
      <c r="JGE12" s="101"/>
      <c r="JGF12" s="101"/>
      <c r="JGG12" s="101"/>
      <c r="JGH12" s="101"/>
      <c r="JGI12" s="101"/>
      <c r="JGJ12" s="101"/>
      <c r="JGK12" s="101"/>
      <c r="JGL12" s="101"/>
      <c r="JGM12" s="101"/>
      <c r="JGN12" s="101"/>
      <c r="JGO12" s="101"/>
      <c r="JGP12" s="101"/>
      <c r="JGQ12" s="101"/>
      <c r="JGR12" s="101"/>
      <c r="JGS12" s="101"/>
      <c r="JGT12" s="101"/>
      <c r="JGU12" s="101"/>
      <c r="JGV12" s="101"/>
      <c r="JGW12" s="101"/>
      <c r="JGX12" s="101"/>
      <c r="JGY12" s="101"/>
      <c r="JGZ12" s="101"/>
      <c r="JHA12" s="101"/>
      <c r="JHB12" s="101"/>
      <c r="JHC12" s="101"/>
      <c r="JHD12" s="101"/>
      <c r="JHE12" s="101"/>
      <c r="JHF12" s="101"/>
      <c r="JHG12" s="101"/>
      <c r="JHH12" s="101"/>
      <c r="JHI12" s="101"/>
      <c r="JHJ12" s="101"/>
      <c r="JHK12" s="101"/>
      <c r="JHL12" s="101"/>
      <c r="JHM12" s="101"/>
      <c r="JHN12" s="101"/>
      <c r="JHO12" s="101"/>
      <c r="JHP12" s="101"/>
      <c r="JHQ12" s="101"/>
      <c r="JHR12" s="101"/>
      <c r="JHS12" s="101"/>
      <c r="JHT12" s="101"/>
      <c r="JHU12" s="101"/>
      <c r="JHV12" s="101"/>
      <c r="JHW12" s="101"/>
      <c r="JHX12" s="101"/>
      <c r="JHY12" s="101"/>
      <c r="JHZ12" s="101"/>
      <c r="JIA12" s="101"/>
      <c r="JIB12" s="101"/>
      <c r="JIC12" s="101"/>
      <c r="JID12" s="101"/>
      <c r="JIE12" s="101"/>
      <c r="JIF12" s="101"/>
      <c r="JIG12" s="101"/>
      <c r="JIH12" s="101"/>
      <c r="JII12" s="101"/>
      <c r="JIJ12" s="101"/>
      <c r="JIK12" s="101"/>
      <c r="JIL12" s="101"/>
      <c r="JIM12" s="101"/>
      <c r="JIN12" s="101"/>
      <c r="JIO12" s="101"/>
      <c r="JIP12" s="101"/>
      <c r="JIQ12" s="101"/>
      <c r="JIR12" s="101"/>
      <c r="JIS12" s="101"/>
      <c r="JIT12" s="101"/>
      <c r="JIU12" s="101"/>
      <c r="JIV12" s="101"/>
      <c r="JIW12" s="101"/>
      <c r="JIX12" s="101"/>
      <c r="JIY12" s="101"/>
      <c r="JIZ12" s="101"/>
      <c r="JJA12" s="101"/>
      <c r="JJB12" s="101"/>
      <c r="JJC12" s="101"/>
      <c r="JJD12" s="101"/>
      <c r="JJE12" s="101"/>
      <c r="JJF12" s="101"/>
      <c r="JJG12" s="101"/>
      <c r="JJH12" s="101"/>
      <c r="JJI12" s="101"/>
      <c r="JJJ12" s="101"/>
      <c r="JJK12" s="101"/>
      <c r="JJL12" s="101"/>
      <c r="JJM12" s="101"/>
      <c r="JJN12" s="101"/>
      <c r="JJO12" s="101"/>
      <c r="JJP12" s="101"/>
      <c r="JJQ12" s="101"/>
      <c r="JJR12" s="101"/>
      <c r="JJS12" s="101"/>
      <c r="JJT12" s="101"/>
      <c r="JJU12" s="101"/>
      <c r="JJV12" s="101"/>
      <c r="JJW12" s="101"/>
      <c r="JJX12" s="101"/>
      <c r="JJY12" s="101"/>
      <c r="JJZ12" s="101"/>
      <c r="JKA12" s="101"/>
      <c r="JKB12" s="101"/>
      <c r="JKC12" s="101"/>
      <c r="JKD12" s="101"/>
      <c r="JKE12" s="101"/>
      <c r="JKF12" s="101"/>
      <c r="JKG12" s="101"/>
      <c r="JKH12" s="101"/>
      <c r="JKI12" s="101"/>
      <c r="JKJ12" s="101"/>
      <c r="JKK12" s="101"/>
      <c r="JKL12" s="101"/>
      <c r="JKM12" s="101"/>
      <c r="JKN12" s="101"/>
      <c r="JKO12" s="101"/>
      <c r="JKP12" s="101"/>
      <c r="JKQ12" s="101"/>
      <c r="JKR12" s="101"/>
      <c r="JKS12" s="101"/>
      <c r="JKT12" s="101"/>
      <c r="JKU12" s="101"/>
      <c r="JKV12" s="101"/>
      <c r="JKW12" s="101"/>
      <c r="JKX12" s="101"/>
      <c r="JKY12" s="101"/>
      <c r="JKZ12" s="101"/>
      <c r="JLA12" s="101"/>
      <c r="JLB12" s="101"/>
      <c r="JLC12" s="101"/>
      <c r="JLD12" s="101"/>
      <c r="JLE12" s="101"/>
      <c r="JLF12" s="101"/>
      <c r="JLG12" s="101"/>
      <c r="JLH12" s="101"/>
      <c r="JLI12" s="101"/>
      <c r="JLJ12" s="101"/>
      <c r="JLK12" s="101"/>
      <c r="JLL12" s="101"/>
      <c r="JLM12" s="101"/>
      <c r="JLN12" s="101"/>
      <c r="JLO12" s="101"/>
      <c r="JLP12" s="101"/>
      <c r="JLQ12" s="101"/>
      <c r="JLR12" s="101"/>
      <c r="JLS12" s="101"/>
      <c r="JLT12" s="101"/>
      <c r="JLU12" s="101"/>
      <c r="JLV12" s="101"/>
      <c r="JLW12" s="101"/>
      <c r="JLX12" s="101"/>
      <c r="JLY12" s="101"/>
      <c r="JLZ12" s="101"/>
      <c r="JMA12" s="101"/>
      <c r="JMB12" s="101"/>
      <c r="JMC12" s="101"/>
      <c r="JMD12" s="101"/>
      <c r="JME12" s="101"/>
      <c r="JMF12" s="101"/>
      <c r="JMG12" s="101"/>
      <c r="JMH12" s="101"/>
      <c r="JMI12" s="101"/>
      <c r="JMJ12" s="101"/>
      <c r="JMK12" s="101"/>
      <c r="JML12" s="101"/>
      <c r="JMM12" s="101"/>
      <c r="JMN12" s="101"/>
      <c r="JMO12" s="101"/>
      <c r="JMP12" s="101"/>
      <c r="JMQ12" s="101"/>
      <c r="JMR12" s="101"/>
      <c r="JMS12" s="101"/>
      <c r="JMT12" s="101"/>
      <c r="JMU12" s="101"/>
      <c r="JMV12" s="101"/>
      <c r="JMW12" s="101"/>
      <c r="JMX12" s="101"/>
      <c r="JMY12" s="101"/>
      <c r="JMZ12" s="101"/>
      <c r="JNA12" s="101"/>
      <c r="JNB12" s="101"/>
      <c r="JNC12" s="101"/>
      <c r="JND12" s="101"/>
      <c r="JNE12" s="101"/>
      <c r="JNF12" s="101"/>
      <c r="JNG12" s="101"/>
      <c r="JNH12" s="101"/>
      <c r="JNI12" s="101"/>
      <c r="JNJ12" s="101"/>
      <c r="JNK12" s="101"/>
      <c r="JNL12" s="101"/>
      <c r="JNM12" s="101"/>
      <c r="JNN12" s="101"/>
      <c r="JNO12" s="101"/>
      <c r="JNP12" s="101"/>
      <c r="JNQ12" s="101"/>
      <c r="JNR12" s="101"/>
      <c r="JNS12" s="101"/>
      <c r="JNT12" s="101"/>
      <c r="JNU12" s="101"/>
      <c r="JNV12" s="101"/>
      <c r="JNW12" s="101"/>
      <c r="JNX12" s="101"/>
      <c r="JNY12" s="101"/>
      <c r="JNZ12" s="101"/>
      <c r="JOA12" s="101"/>
      <c r="JOB12" s="101"/>
      <c r="JOC12" s="101"/>
      <c r="JOD12" s="101"/>
      <c r="JOE12" s="101"/>
      <c r="JOF12" s="101"/>
      <c r="JOG12" s="101"/>
      <c r="JOH12" s="101"/>
      <c r="JOI12" s="101"/>
      <c r="JOJ12" s="101"/>
      <c r="JOK12" s="101"/>
      <c r="JOL12" s="101"/>
      <c r="JOM12" s="101"/>
      <c r="JON12" s="101"/>
      <c r="JOO12" s="101"/>
      <c r="JOP12" s="101"/>
      <c r="JOQ12" s="101"/>
      <c r="JOR12" s="101"/>
      <c r="JOS12" s="101"/>
      <c r="JOT12" s="101"/>
      <c r="JOU12" s="101"/>
      <c r="JOV12" s="101"/>
      <c r="JOW12" s="101"/>
      <c r="JOX12" s="101"/>
      <c r="JOY12" s="101"/>
      <c r="JOZ12" s="101"/>
      <c r="JPA12" s="101"/>
      <c r="JPB12" s="101"/>
      <c r="JPC12" s="101"/>
      <c r="JPD12" s="101"/>
      <c r="JPE12" s="101"/>
      <c r="JPF12" s="101"/>
      <c r="JPG12" s="101"/>
      <c r="JPH12" s="101"/>
      <c r="JPI12" s="101"/>
      <c r="JPJ12" s="101"/>
      <c r="JPK12" s="101"/>
      <c r="JPL12" s="101"/>
      <c r="JPM12" s="101"/>
      <c r="JPN12" s="101"/>
      <c r="JPO12" s="101"/>
      <c r="JPP12" s="101"/>
      <c r="JPQ12" s="101"/>
      <c r="JPR12" s="101"/>
      <c r="JPS12" s="101"/>
      <c r="JPT12" s="101"/>
      <c r="JPU12" s="101"/>
      <c r="JPV12" s="101"/>
      <c r="JPW12" s="101"/>
      <c r="JPX12" s="101"/>
      <c r="JPY12" s="101"/>
      <c r="JPZ12" s="101"/>
      <c r="JQA12" s="101"/>
      <c r="JQB12" s="101"/>
      <c r="JQC12" s="101"/>
      <c r="JQD12" s="101"/>
      <c r="JQE12" s="101"/>
      <c r="JQF12" s="101"/>
      <c r="JQG12" s="101"/>
      <c r="JQH12" s="101"/>
      <c r="JQI12" s="101"/>
      <c r="JQJ12" s="101"/>
      <c r="JQK12" s="101"/>
      <c r="JQL12" s="101"/>
      <c r="JQM12" s="101"/>
      <c r="JQN12" s="101"/>
      <c r="JQO12" s="101"/>
      <c r="JQP12" s="101"/>
      <c r="JQQ12" s="101"/>
      <c r="JQR12" s="101"/>
      <c r="JQS12" s="101"/>
      <c r="JQT12" s="101"/>
      <c r="JQU12" s="101"/>
      <c r="JQV12" s="101"/>
      <c r="JQW12" s="101"/>
      <c r="JQX12" s="101"/>
      <c r="JQY12" s="101"/>
      <c r="JQZ12" s="101"/>
      <c r="JRA12" s="101"/>
      <c r="JRB12" s="101"/>
      <c r="JRC12" s="101"/>
      <c r="JRD12" s="101"/>
      <c r="JRE12" s="101"/>
      <c r="JRF12" s="101"/>
      <c r="JRG12" s="101"/>
      <c r="JRH12" s="101"/>
      <c r="JRI12" s="101"/>
      <c r="JRJ12" s="101"/>
      <c r="JRK12" s="101"/>
      <c r="JRL12" s="101"/>
      <c r="JRM12" s="101"/>
      <c r="JRN12" s="101"/>
      <c r="JRO12" s="101"/>
      <c r="JRP12" s="101"/>
      <c r="JRQ12" s="101"/>
      <c r="JRR12" s="101"/>
      <c r="JRS12" s="101"/>
      <c r="JRT12" s="101"/>
      <c r="JRU12" s="101"/>
      <c r="JRV12" s="101"/>
      <c r="JRW12" s="101"/>
      <c r="JRX12" s="101"/>
      <c r="JRY12" s="101"/>
      <c r="JRZ12" s="101"/>
      <c r="JSA12" s="101"/>
      <c r="JSB12" s="101"/>
      <c r="JSC12" s="101"/>
      <c r="JSD12" s="101"/>
      <c r="JSE12" s="101"/>
      <c r="JSF12" s="101"/>
      <c r="JSG12" s="101"/>
      <c r="JSH12" s="101"/>
      <c r="JSI12" s="101"/>
      <c r="JSJ12" s="101"/>
      <c r="JSK12" s="101"/>
      <c r="JSL12" s="101"/>
      <c r="JSM12" s="101"/>
      <c r="JSN12" s="101"/>
      <c r="JSO12" s="101"/>
      <c r="JSP12" s="101"/>
      <c r="JSQ12" s="101"/>
      <c r="JSR12" s="101"/>
      <c r="JSS12" s="101"/>
      <c r="JST12" s="101"/>
      <c r="JSU12" s="101"/>
      <c r="JSV12" s="101"/>
      <c r="JSW12" s="101"/>
      <c r="JSX12" s="101"/>
      <c r="JSY12" s="101"/>
      <c r="JSZ12" s="101"/>
      <c r="JTA12" s="101"/>
      <c r="JTB12" s="101"/>
      <c r="JTC12" s="101"/>
      <c r="JTD12" s="101"/>
      <c r="JTE12" s="101"/>
      <c r="JTF12" s="101"/>
      <c r="JTG12" s="101"/>
      <c r="JTH12" s="101"/>
      <c r="JTI12" s="101"/>
      <c r="JTJ12" s="101"/>
      <c r="JTK12" s="101"/>
      <c r="JTL12" s="101"/>
      <c r="JTM12" s="101"/>
      <c r="JTN12" s="101"/>
      <c r="JTO12" s="101"/>
      <c r="JTP12" s="101"/>
      <c r="JTQ12" s="101"/>
      <c r="JTR12" s="101"/>
      <c r="JTS12" s="101"/>
      <c r="JTT12" s="101"/>
      <c r="JTU12" s="101"/>
      <c r="JTV12" s="101"/>
      <c r="JTW12" s="101"/>
      <c r="JTX12" s="101"/>
      <c r="JTY12" s="101"/>
      <c r="JTZ12" s="101"/>
      <c r="JUA12" s="101"/>
      <c r="JUB12" s="101"/>
      <c r="JUC12" s="101"/>
      <c r="JUD12" s="101"/>
      <c r="JUE12" s="101"/>
      <c r="JUF12" s="101"/>
      <c r="JUG12" s="101"/>
      <c r="JUH12" s="101"/>
      <c r="JUI12" s="101"/>
      <c r="JUJ12" s="101"/>
      <c r="JUK12" s="101"/>
      <c r="JUL12" s="101"/>
      <c r="JUM12" s="101"/>
      <c r="JUN12" s="101"/>
      <c r="JUO12" s="101"/>
      <c r="JUP12" s="101"/>
      <c r="JUQ12" s="101"/>
      <c r="JUR12" s="101"/>
      <c r="JUS12" s="101"/>
      <c r="JUT12" s="101"/>
      <c r="JUU12" s="101"/>
      <c r="JUV12" s="101"/>
      <c r="JUW12" s="101"/>
      <c r="JUX12" s="101"/>
      <c r="JUY12" s="101"/>
      <c r="JUZ12" s="101"/>
      <c r="JVA12" s="101"/>
      <c r="JVB12" s="101"/>
      <c r="JVC12" s="101"/>
      <c r="JVD12" s="101"/>
      <c r="JVE12" s="101"/>
      <c r="JVF12" s="101"/>
      <c r="JVG12" s="101"/>
      <c r="JVH12" s="101"/>
      <c r="JVI12" s="101"/>
      <c r="JVJ12" s="101"/>
      <c r="JVK12" s="101"/>
      <c r="JVL12" s="101"/>
      <c r="JVM12" s="101"/>
      <c r="JVN12" s="101"/>
      <c r="JVO12" s="101"/>
      <c r="JVP12" s="101"/>
      <c r="JVQ12" s="101"/>
      <c r="JVR12" s="101"/>
      <c r="JVS12" s="101"/>
      <c r="JVT12" s="101"/>
      <c r="JVU12" s="101"/>
      <c r="JVV12" s="101"/>
      <c r="JVW12" s="101"/>
      <c r="JVX12" s="101"/>
      <c r="JVY12" s="101"/>
      <c r="JVZ12" s="101"/>
      <c r="JWA12" s="101"/>
      <c r="JWB12" s="101"/>
      <c r="JWC12" s="101"/>
      <c r="JWD12" s="101"/>
      <c r="JWE12" s="101"/>
      <c r="JWF12" s="101"/>
      <c r="JWG12" s="101"/>
      <c r="JWH12" s="101"/>
      <c r="JWI12" s="101"/>
      <c r="JWJ12" s="101"/>
      <c r="JWK12" s="101"/>
      <c r="JWL12" s="101"/>
      <c r="JWM12" s="101"/>
      <c r="JWN12" s="101"/>
      <c r="JWO12" s="101"/>
      <c r="JWP12" s="101"/>
      <c r="JWQ12" s="101"/>
      <c r="JWR12" s="101"/>
      <c r="JWS12" s="101"/>
      <c r="JWT12" s="101"/>
      <c r="JWU12" s="101"/>
      <c r="JWV12" s="101"/>
      <c r="JWW12" s="101"/>
      <c r="JWX12" s="101"/>
      <c r="JWY12" s="101"/>
      <c r="JWZ12" s="101"/>
      <c r="JXA12" s="101"/>
      <c r="JXB12" s="101"/>
      <c r="JXC12" s="101"/>
      <c r="JXD12" s="101"/>
      <c r="JXE12" s="101"/>
      <c r="JXF12" s="101"/>
      <c r="JXG12" s="101"/>
      <c r="JXH12" s="101"/>
      <c r="JXI12" s="101"/>
      <c r="JXJ12" s="101"/>
      <c r="JXK12" s="101"/>
      <c r="JXL12" s="101"/>
      <c r="JXM12" s="101"/>
      <c r="JXN12" s="101"/>
      <c r="JXO12" s="101"/>
      <c r="JXP12" s="101"/>
      <c r="JXQ12" s="101"/>
      <c r="JXR12" s="101"/>
      <c r="JXS12" s="101"/>
      <c r="JXT12" s="101"/>
      <c r="JXU12" s="101"/>
      <c r="JXV12" s="101"/>
      <c r="JXW12" s="101"/>
      <c r="JXX12" s="101"/>
      <c r="JXY12" s="101"/>
      <c r="JXZ12" s="101"/>
      <c r="JYA12" s="101"/>
      <c r="JYB12" s="101"/>
      <c r="JYC12" s="101"/>
      <c r="JYD12" s="101"/>
      <c r="JYE12" s="101"/>
      <c r="JYF12" s="101"/>
      <c r="JYG12" s="101"/>
      <c r="JYH12" s="101"/>
      <c r="JYI12" s="101"/>
      <c r="JYJ12" s="101"/>
      <c r="JYK12" s="101"/>
      <c r="JYL12" s="101"/>
      <c r="JYM12" s="101"/>
      <c r="JYN12" s="101"/>
      <c r="JYO12" s="101"/>
      <c r="JYP12" s="101"/>
      <c r="JYQ12" s="101"/>
      <c r="JYR12" s="101"/>
      <c r="JYS12" s="101"/>
      <c r="JYT12" s="101"/>
      <c r="JYU12" s="101"/>
      <c r="JYV12" s="101"/>
      <c r="JYW12" s="101"/>
      <c r="JYX12" s="101"/>
      <c r="JYY12" s="101"/>
      <c r="JYZ12" s="101"/>
      <c r="JZA12" s="101"/>
      <c r="JZB12" s="101"/>
      <c r="JZC12" s="101"/>
      <c r="JZD12" s="101"/>
      <c r="JZE12" s="101"/>
      <c r="JZF12" s="101"/>
      <c r="JZG12" s="101"/>
      <c r="JZH12" s="101"/>
      <c r="JZI12" s="101"/>
      <c r="JZJ12" s="101"/>
      <c r="JZK12" s="101"/>
      <c r="JZL12" s="101"/>
      <c r="JZM12" s="101"/>
      <c r="JZN12" s="101"/>
      <c r="JZO12" s="101"/>
      <c r="JZP12" s="101"/>
      <c r="JZQ12" s="101"/>
      <c r="JZR12" s="101"/>
      <c r="JZS12" s="101"/>
      <c r="JZT12" s="101"/>
      <c r="JZU12" s="101"/>
      <c r="JZV12" s="101"/>
      <c r="JZW12" s="101"/>
      <c r="JZX12" s="101"/>
      <c r="JZY12" s="101"/>
      <c r="JZZ12" s="101"/>
      <c r="KAA12" s="101"/>
      <c r="KAB12" s="101"/>
      <c r="KAC12" s="101"/>
      <c r="KAD12" s="101"/>
      <c r="KAE12" s="101"/>
      <c r="KAF12" s="101"/>
      <c r="KAG12" s="101"/>
      <c r="KAH12" s="101"/>
      <c r="KAI12" s="101"/>
      <c r="KAJ12" s="101"/>
      <c r="KAK12" s="101"/>
      <c r="KAL12" s="101"/>
      <c r="KAM12" s="101"/>
      <c r="KAN12" s="101"/>
      <c r="KAO12" s="101"/>
      <c r="KAP12" s="101"/>
      <c r="KAQ12" s="101"/>
      <c r="KAR12" s="101"/>
      <c r="KAS12" s="101"/>
      <c r="KAT12" s="101"/>
      <c r="KAU12" s="101"/>
      <c r="KAV12" s="101"/>
      <c r="KAW12" s="101"/>
      <c r="KAX12" s="101"/>
      <c r="KAY12" s="101"/>
      <c r="KAZ12" s="101"/>
      <c r="KBA12" s="101"/>
      <c r="KBB12" s="101"/>
      <c r="KBC12" s="101"/>
      <c r="KBD12" s="101"/>
      <c r="KBE12" s="101"/>
      <c r="KBF12" s="101"/>
      <c r="KBG12" s="101"/>
      <c r="KBH12" s="101"/>
      <c r="KBI12" s="101"/>
      <c r="KBJ12" s="101"/>
      <c r="KBK12" s="101"/>
      <c r="KBL12" s="101"/>
      <c r="KBM12" s="101"/>
      <c r="KBN12" s="101"/>
      <c r="KBO12" s="101"/>
      <c r="KBP12" s="101"/>
      <c r="KBQ12" s="101"/>
      <c r="KBR12" s="101"/>
      <c r="KBS12" s="101"/>
      <c r="KBT12" s="101"/>
      <c r="KBU12" s="101"/>
      <c r="KBV12" s="101"/>
      <c r="KBW12" s="101"/>
      <c r="KBX12" s="101"/>
      <c r="KBY12" s="101"/>
      <c r="KBZ12" s="101"/>
      <c r="KCA12" s="101"/>
      <c r="KCB12" s="101"/>
      <c r="KCC12" s="101"/>
      <c r="KCD12" s="101"/>
      <c r="KCE12" s="101"/>
      <c r="KCF12" s="101"/>
      <c r="KCG12" s="101"/>
      <c r="KCH12" s="101"/>
      <c r="KCI12" s="101"/>
      <c r="KCJ12" s="101"/>
      <c r="KCK12" s="101"/>
      <c r="KCL12" s="101"/>
      <c r="KCM12" s="101"/>
      <c r="KCN12" s="101"/>
      <c r="KCO12" s="101"/>
      <c r="KCP12" s="101"/>
      <c r="KCQ12" s="101"/>
      <c r="KCR12" s="101"/>
      <c r="KCS12" s="101"/>
      <c r="KCT12" s="101"/>
      <c r="KCU12" s="101"/>
      <c r="KCV12" s="101"/>
      <c r="KCW12" s="101"/>
      <c r="KCX12" s="101"/>
      <c r="KCY12" s="101"/>
      <c r="KCZ12" s="101"/>
      <c r="KDA12" s="101"/>
      <c r="KDB12" s="101"/>
      <c r="KDC12" s="101"/>
      <c r="KDD12" s="101"/>
      <c r="KDE12" s="101"/>
      <c r="KDF12" s="101"/>
      <c r="KDG12" s="101"/>
      <c r="KDH12" s="101"/>
      <c r="KDI12" s="101"/>
      <c r="KDJ12" s="101"/>
      <c r="KDK12" s="101"/>
      <c r="KDL12" s="101"/>
      <c r="KDM12" s="101"/>
      <c r="KDN12" s="101"/>
      <c r="KDO12" s="101"/>
      <c r="KDP12" s="101"/>
      <c r="KDQ12" s="101"/>
      <c r="KDR12" s="101"/>
      <c r="KDS12" s="101"/>
      <c r="KDT12" s="101"/>
      <c r="KDU12" s="101"/>
      <c r="KDV12" s="101"/>
      <c r="KDW12" s="101"/>
      <c r="KDX12" s="101"/>
      <c r="KDY12" s="101"/>
      <c r="KDZ12" s="101"/>
      <c r="KEA12" s="101"/>
      <c r="KEB12" s="101"/>
      <c r="KEC12" s="101"/>
      <c r="KED12" s="101"/>
      <c r="KEE12" s="101"/>
      <c r="KEF12" s="101"/>
      <c r="KEG12" s="101"/>
      <c r="KEH12" s="101"/>
      <c r="KEI12" s="101"/>
      <c r="KEJ12" s="101"/>
      <c r="KEK12" s="101"/>
      <c r="KEL12" s="101"/>
      <c r="KEM12" s="101"/>
      <c r="KEN12" s="101"/>
      <c r="KEO12" s="101"/>
      <c r="KEP12" s="101"/>
      <c r="KEQ12" s="101"/>
      <c r="KER12" s="101"/>
      <c r="KES12" s="101"/>
      <c r="KET12" s="101"/>
      <c r="KEU12" s="101"/>
      <c r="KEV12" s="101"/>
      <c r="KEW12" s="101"/>
      <c r="KEX12" s="101"/>
      <c r="KEY12" s="101"/>
      <c r="KEZ12" s="101"/>
      <c r="KFA12" s="101"/>
      <c r="KFB12" s="101"/>
      <c r="KFC12" s="101"/>
      <c r="KFD12" s="101"/>
      <c r="KFE12" s="101"/>
      <c r="KFF12" s="101"/>
      <c r="KFG12" s="101"/>
      <c r="KFH12" s="101"/>
      <c r="KFI12" s="101"/>
      <c r="KFJ12" s="101"/>
      <c r="KFK12" s="101"/>
      <c r="KFL12" s="101"/>
      <c r="KFM12" s="101"/>
      <c r="KFN12" s="101"/>
      <c r="KFO12" s="101"/>
      <c r="KFP12" s="101"/>
      <c r="KFQ12" s="101"/>
      <c r="KFR12" s="101"/>
      <c r="KFS12" s="101"/>
      <c r="KFT12" s="101"/>
      <c r="KFU12" s="101"/>
      <c r="KFV12" s="101"/>
      <c r="KFW12" s="101"/>
      <c r="KFX12" s="101"/>
      <c r="KFY12" s="101"/>
      <c r="KFZ12" s="101"/>
      <c r="KGA12" s="101"/>
      <c r="KGB12" s="101"/>
      <c r="KGC12" s="101"/>
      <c r="KGD12" s="101"/>
      <c r="KGE12" s="101"/>
      <c r="KGF12" s="101"/>
      <c r="KGG12" s="101"/>
      <c r="KGH12" s="101"/>
      <c r="KGI12" s="101"/>
      <c r="KGJ12" s="101"/>
      <c r="KGK12" s="101"/>
      <c r="KGL12" s="101"/>
      <c r="KGM12" s="101"/>
      <c r="KGN12" s="101"/>
      <c r="KGO12" s="101"/>
      <c r="KGP12" s="101"/>
      <c r="KGQ12" s="101"/>
      <c r="KGR12" s="101"/>
      <c r="KGS12" s="101"/>
      <c r="KGT12" s="101"/>
      <c r="KGU12" s="101"/>
      <c r="KGV12" s="101"/>
      <c r="KGW12" s="101"/>
      <c r="KGX12" s="101"/>
      <c r="KGY12" s="101"/>
      <c r="KGZ12" s="101"/>
      <c r="KHA12" s="101"/>
      <c r="KHB12" s="101"/>
      <c r="KHC12" s="101"/>
      <c r="KHD12" s="101"/>
      <c r="KHE12" s="101"/>
      <c r="KHF12" s="101"/>
      <c r="KHG12" s="101"/>
      <c r="KHH12" s="101"/>
      <c r="KHI12" s="101"/>
      <c r="KHJ12" s="101"/>
      <c r="KHK12" s="101"/>
      <c r="KHL12" s="101"/>
      <c r="KHM12" s="101"/>
      <c r="KHN12" s="101"/>
      <c r="KHO12" s="101"/>
      <c r="KHP12" s="101"/>
      <c r="KHQ12" s="101"/>
      <c r="KHR12" s="101"/>
      <c r="KHS12" s="101"/>
      <c r="KHT12" s="101"/>
      <c r="KHU12" s="101"/>
      <c r="KHV12" s="101"/>
      <c r="KHW12" s="101"/>
      <c r="KHX12" s="101"/>
      <c r="KHY12" s="101"/>
      <c r="KHZ12" s="101"/>
      <c r="KIA12" s="101"/>
      <c r="KIB12" s="101"/>
      <c r="KIC12" s="101"/>
      <c r="KID12" s="101"/>
      <c r="KIE12" s="101"/>
      <c r="KIF12" s="101"/>
      <c r="KIG12" s="101"/>
      <c r="KIH12" s="101"/>
      <c r="KII12" s="101"/>
      <c r="KIJ12" s="101"/>
      <c r="KIK12" s="101"/>
      <c r="KIL12" s="101"/>
      <c r="KIM12" s="101"/>
      <c r="KIN12" s="101"/>
      <c r="KIO12" s="101"/>
      <c r="KIP12" s="101"/>
      <c r="KIQ12" s="101"/>
      <c r="KIR12" s="101"/>
      <c r="KIS12" s="101"/>
      <c r="KIT12" s="101"/>
      <c r="KIU12" s="101"/>
      <c r="KIV12" s="101"/>
      <c r="KIW12" s="101"/>
      <c r="KIX12" s="101"/>
      <c r="KIY12" s="101"/>
      <c r="KIZ12" s="101"/>
      <c r="KJA12" s="101"/>
      <c r="KJB12" s="101"/>
      <c r="KJC12" s="101"/>
      <c r="KJD12" s="101"/>
      <c r="KJE12" s="101"/>
      <c r="KJF12" s="101"/>
      <c r="KJG12" s="101"/>
      <c r="KJH12" s="101"/>
      <c r="KJI12" s="101"/>
      <c r="KJJ12" s="101"/>
      <c r="KJK12" s="101"/>
      <c r="KJL12" s="101"/>
      <c r="KJM12" s="101"/>
      <c r="KJN12" s="101"/>
      <c r="KJO12" s="101"/>
      <c r="KJP12" s="101"/>
      <c r="KJQ12" s="101"/>
      <c r="KJR12" s="101"/>
      <c r="KJS12" s="101"/>
      <c r="KJT12" s="101"/>
      <c r="KJU12" s="101"/>
      <c r="KJV12" s="101"/>
      <c r="KJW12" s="101"/>
      <c r="KJX12" s="101"/>
      <c r="KJY12" s="101"/>
      <c r="KJZ12" s="101"/>
      <c r="KKA12" s="101"/>
      <c r="KKB12" s="101"/>
      <c r="KKC12" s="101"/>
      <c r="KKD12" s="101"/>
      <c r="KKE12" s="101"/>
      <c r="KKF12" s="101"/>
      <c r="KKG12" s="101"/>
      <c r="KKH12" s="101"/>
      <c r="KKI12" s="101"/>
      <c r="KKJ12" s="101"/>
      <c r="KKK12" s="101"/>
      <c r="KKL12" s="101"/>
      <c r="KKM12" s="101"/>
      <c r="KKN12" s="101"/>
      <c r="KKO12" s="101"/>
      <c r="KKP12" s="101"/>
      <c r="KKQ12" s="101"/>
      <c r="KKR12" s="101"/>
      <c r="KKS12" s="101"/>
      <c r="KKT12" s="101"/>
      <c r="KKU12" s="101"/>
      <c r="KKV12" s="101"/>
      <c r="KKW12" s="101"/>
      <c r="KKX12" s="101"/>
      <c r="KKY12" s="101"/>
      <c r="KKZ12" s="101"/>
      <c r="KLA12" s="101"/>
      <c r="KLB12" s="101"/>
      <c r="KLC12" s="101"/>
      <c r="KLD12" s="101"/>
      <c r="KLE12" s="101"/>
      <c r="KLF12" s="101"/>
      <c r="KLG12" s="101"/>
      <c r="KLH12" s="101"/>
      <c r="KLI12" s="101"/>
      <c r="KLJ12" s="101"/>
      <c r="KLK12" s="101"/>
      <c r="KLL12" s="101"/>
      <c r="KLM12" s="101"/>
      <c r="KLN12" s="101"/>
      <c r="KLO12" s="101"/>
      <c r="KLP12" s="101"/>
      <c r="KLQ12" s="101"/>
      <c r="KLR12" s="101"/>
      <c r="KLS12" s="101"/>
      <c r="KLT12" s="101"/>
      <c r="KLU12" s="101"/>
      <c r="KLV12" s="101"/>
      <c r="KLW12" s="101"/>
      <c r="KLX12" s="101"/>
      <c r="KLY12" s="101"/>
      <c r="KLZ12" s="101"/>
      <c r="KMA12" s="101"/>
      <c r="KMB12" s="101"/>
      <c r="KMC12" s="101"/>
      <c r="KMD12" s="101"/>
      <c r="KME12" s="101"/>
      <c r="KMF12" s="101"/>
      <c r="KMG12" s="101"/>
      <c r="KMH12" s="101"/>
      <c r="KMI12" s="101"/>
      <c r="KMJ12" s="101"/>
      <c r="KMK12" s="101"/>
      <c r="KML12" s="101"/>
      <c r="KMM12" s="101"/>
      <c r="KMN12" s="101"/>
      <c r="KMO12" s="101"/>
      <c r="KMP12" s="101"/>
      <c r="KMQ12" s="101"/>
      <c r="KMR12" s="101"/>
      <c r="KMS12" s="101"/>
      <c r="KMT12" s="101"/>
      <c r="KMU12" s="101"/>
      <c r="KMV12" s="101"/>
      <c r="KMW12" s="101"/>
      <c r="KMX12" s="101"/>
      <c r="KMY12" s="101"/>
      <c r="KMZ12" s="101"/>
      <c r="KNA12" s="101"/>
      <c r="KNB12" s="101"/>
      <c r="KNC12" s="101"/>
      <c r="KND12" s="101"/>
      <c r="KNE12" s="101"/>
      <c r="KNF12" s="101"/>
      <c r="KNG12" s="101"/>
      <c r="KNH12" s="101"/>
      <c r="KNI12" s="101"/>
      <c r="KNJ12" s="101"/>
      <c r="KNK12" s="101"/>
      <c r="KNL12" s="101"/>
      <c r="KNM12" s="101"/>
      <c r="KNN12" s="101"/>
      <c r="KNO12" s="101"/>
      <c r="KNP12" s="101"/>
      <c r="KNQ12" s="101"/>
      <c r="KNR12" s="101"/>
      <c r="KNS12" s="101"/>
      <c r="KNT12" s="101"/>
      <c r="KNU12" s="101"/>
      <c r="KNV12" s="101"/>
      <c r="KNW12" s="101"/>
      <c r="KNX12" s="101"/>
      <c r="KNY12" s="101"/>
      <c r="KNZ12" s="101"/>
      <c r="KOA12" s="101"/>
      <c r="KOB12" s="101"/>
      <c r="KOC12" s="101"/>
      <c r="KOD12" s="101"/>
      <c r="KOE12" s="101"/>
      <c r="KOF12" s="101"/>
      <c r="KOG12" s="101"/>
      <c r="KOH12" s="101"/>
      <c r="KOI12" s="101"/>
      <c r="KOJ12" s="101"/>
      <c r="KOK12" s="101"/>
      <c r="KOL12" s="101"/>
      <c r="KOM12" s="101"/>
      <c r="KON12" s="101"/>
      <c r="KOO12" s="101"/>
      <c r="KOP12" s="101"/>
      <c r="KOQ12" s="101"/>
      <c r="KOR12" s="101"/>
      <c r="KOS12" s="101"/>
      <c r="KOT12" s="101"/>
      <c r="KOU12" s="101"/>
      <c r="KOV12" s="101"/>
      <c r="KOW12" s="101"/>
      <c r="KOX12" s="101"/>
      <c r="KOY12" s="101"/>
      <c r="KOZ12" s="101"/>
      <c r="KPA12" s="101"/>
      <c r="KPB12" s="101"/>
      <c r="KPC12" s="101"/>
      <c r="KPD12" s="101"/>
      <c r="KPE12" s="101"/>
      <c r="KPF12" s="101"/>
      <c r="KPG12" s="101"/>
      <c r="KPH12" s="101"/>
      <c r="KPI12" s="101"/>
      <c r="KPJ12" s="101"/>
      <c r="KPK12" s="101"/>
      <c r="KPL12" s="101"/>
      <c r="KPM12" s="101"/>
      <c r="KPN12" s="101"/>
      <c r="KPO12" s="101"/>
      <c r="KPP12" s="101"/>
      <c r="KPQ12" s="101"/>
      <c r="KPR12" s="101"/>
      <c r="KPS12" s="101"/>
      <c r="KPT12" s="101"/>
      <c r="KPU12" s="101"/>
      <c r="KPV12" s="101"/>
      <c r="KPW12" s="101"/>
      <c r="KPX12" s="101"/>
      <c r="KPY12" s="101"/>
      <c r="KPZ12" s="101"/>
      <c r="KQA12" s="101"/>
      <c r="KQB12" s="101"/>
      <c r="KQC12" s="101"/>
      <c r="KQD12" s="101"/>
      <c r="KQE12" s="101"/>
      <c r="KQF12" s="101"/>
      <c r="KQG12" s="101"/>
      <c r="KQH12" s="101"/>
      <c r="KQI12" s="101"/>
      <c r="KQJ12" s="101"/>
      <c r="KQK12" s="101"/>
      <c r="KQL12" s="101"/>
      <c r="KQM12" s="101"/>
      <c r="KQN12" s="101"/>
      <c r="KQO12" s="101"/>
      <c r="KQP12" s="101"/>
      <c r="KQQ12" s="101"/>
      <c r="KQR12" s="101"/>
      <c r="KQS12" s="101"/>
      <c r="KQT12" s="101"/>
      <c r="KQU12" s="101"/>
      <c r="KQV12" s="101"/>
      <c r="KQW12" s="101"/>
      <c r="KQX12" s="101"/>
      <c r="KQY12" s="101"/>
      <c r="KQZ12" s="101"/>
      <c r="KRA12" s="101"/>
      <c r="KRB12" s="101"/>
      <c r="KRC12" s="101"/>
      <c r="KRD12" s="101"/>
      <c r="KRE12" s="101"/>
      <c r="KRF12" s="101"/>
      <c r="KRG12" s="101"/>
      <c r="KRH12" s="101"/>
      <c r="KRI12" s="101"/>
      <c r="KRJ12" s="101"/>
      <c r="KRK12" s="101"/>
      <c r="KRL12" s="101"/>
      <c r="KRM12" s="101"/>
      <c r="KRN12" s="101"/>
      <c r="KRO12" s="101"/>
      <c r="KRP12" s="101"/>
      <c r="KRQ12" s="101"/>
      <c r="KRR12" s="101"/>
      <c r="KRS12" s="101"/>
      <c r="KRT12" s="101"/>
      <c r="KRU12" s="101"/>
      <c r="KRV12" s="101"/>
      <c r="KRW12" s="101"/>
      <c r="KRX12" s="101"/>
      <c r="KRY12" s="101"/>
      <c r="KRZ12" s="101"/>
      <c r="KSA12" s="101"/>
      <c r="KSB12" s="101"/>
      <c r="KSC12" s="101"/>
      <c r="KSD12" s="101"/>
      <c r="KSE12" s="101"/>
      <c r="KSF12" s="101"/>
      <c r="KSG12" s="101"/>
      <c r="KSH12" s="101"/>
      <c r="KSI12" s="101"/>
      <c r="KSJ12" s="101"/>
      <c r="KSK12" s="101"/>
      <c r="KSL12" s="101"/>
      <c r="KSM12" s="101"/>
      <c r="KSN12" s="101"/>
      <c r="KSO12" s="101"/>
      <c r="KSP12" s="101"/>
      <c r="KSQ12" s="101"/>
      <c r="KSR12" s="101"/>
      <c r="KSS12" s="101"/>
      <c r="KST12" s="101"/>
      <c r="KSU12" s="101"/>
      <c r="KSV12" s="101"/>
      <c r="KSW12" s="101"/>
      <c r="KSX12" s="101"/>
      <c r="KSY12" s="101"/>
      <c r="KSZ12" s="101"/>
      <c r="KTA12" s="101"/>
      <c r="KTB12" s="101"/>
      <c r="KTC12" s="101"/>
      <c r="KTD12" s="101"/>
      <c r="KTE12" s="101"/>
      <c r="KTF12" s="101"/>
      <c r="KTG12" s="101"/>
      <c r="KTH12" s="101"/>
      <c r="KTI12" s="101"/>
      <c r="KTJ12" s="101"/>
      <c r="KTK12" s="101"/>
      <c r="KTL12" s="101"/>
      <c r="KTM12" s="101"/>
      <c r="KTN12" s="101"/>
      <c r="KTO12" s="101"/>
      <c r="KTP12" s="101"/>
      <c r="KTQ12" s="101"/>
      <c r="KTR12" s="101"/>
      <c r="KTS12" s="101"/>
      <c r="KTT12" s="101"/>
      <c r="KTU12" s="101"/>
      <c r="KTV12" s="101"/>
      <c r="KTW12" s="101"/>
      <c r="KTX12" s="101"/>
      <c r="KTY12" s="101"/>
      <c r="KTZ12" s="101"/>
      <c r="KUA12" s="101"/>
      <c r="KUB12" s="101"/>
      <c r="KUC12" s="101"/>
      <c r="KUD12" s="101"/>
      <c r="KUE12" s="101"/>
      <c r="KUF12" s="101"/>
      <c r="KUG12" s="101"/>
      <c r="KUH12" s="101"/>
      <c r="KUI12" s="101"/>
      <c r="KUJ12" s="101"/>
      <c r="KUK12" s="101"/>
      <c r="KUL12" s="101"/>
      <c r="KUM12" s="101"/>
      <c r="KUN12" s="101"/>
      <c r="KUO12" s="101"/>
      <c r="KUP12" s="101"/>
      <c r="KUQ12" s="101"/>
      <c r="KUR12" s="101"/>
      <c r="KUS12" s="101"/>
      <c r="KUT12" s="101"/>
      <c r="KUU12" s="101"/>
      <c r="KUV12" s="101"/>
      <c r="KUW12" s="101"/>
      <c r="KUX12" s="101"/>
      <c r="KUY12" s="101"/>
      <c r="KUZ12" s="101"/>
      <c r="KVA12" s="101"/>
      <c r="KVB12" s="101"/>
      <c r="KVC12" s="101"/>
      <c r="KVD12" s="101"/>
      <c r="KVE12" s="101"/>
      <c r="KVF12" s="101"/>
      <c r="KVG12" s="101"/>
      <c r="KVH12" s="101"/>
      <c r="KVI12" s="101"/>
      <c r="KVJ12" s="101"/>
      <c r="KVK12" s="101"/>
      <c r="KVL12" s="101"/>
      <c r="KVM12" s="101"/>
      <c r="KVN12" s="101"/>
      <c r="KVO12" s="101"/>
      <c r="KVP12" s="101"/>
      <c r="KVQ12" s="101"/>
      <c r="KVR12" s="101"/>
      <c r="KVS12" s="101"/>
      <c r="KVT12" s="101"/>
      <c r="KVU12" s="101"/>
      <c r="KVV12" s="101"/>
      <c r="KVW12" s="101"/>
      <c r="KVX12" s="101"/>
      <c r="KVY12" s="101"/>
      <c r="KVZ12" s="101"/>
      <c r="KWA12" s="101"/>
      <c r="KWB12" s="101"/>
      <c r="KWC12" s="101"/>
      <c r="KWD12" s="101"/>
      <c r="KWE12" s="101"/>
      <c r="KWF12" s="101"/>
      <c r="KWG12" s="101"/>
      <c r="KWH12" s="101"/>
      <c r="KWI12" s="101"/>
      <c r="KWJ12" s="101"/>
      <c r="KWK12" s="101"/>
      <c r="KWL12" s="101"/>
      <c r="KWM12" s="101"/>
      <c r="KWN12" s="101"/>
      <c r="KWO12" s="101"/>
      <c r="KWP12" s="101"/>
      <c r="KWQ12" s="101"/>
      <c r="KWR12" s="101"/>
      <c r="KWS12" s="101"/>
      <c r="KWT12" s="101"/>
      <c r="KWU12" s="101"/>
      <c r="KWV12" s="101"/>
      <c r="KWW12" s="101"/>
      <c r="KWX12" s="101"/>
      <c r="KWY12" s="101"/>
      <c r="KWZ12" s="101"/>
      <c r="KXA12" s="101"/>
      <c r="KXB12" s="101"/>
      <c r="KXC12" s="101"/>
      <c r="KXD12" s="101"/>
      <c r="KXE12" s="101"/>
      <c r="KXF12" s="101"/>
      <c r="KXG12" s="101"/>
      <c r="KXH12" s="101"/>
      <c r="KXI12" s="101"/>
      <c r="KXJ12" s="101"/>
      <c r="KXK12" s="101"/>
      <c r="KXL12" s="101"/>
      <c r="KXM12" s="101"/>
      <c r="KXN12" s="101"/>
      <c r="KXO12" s="101"/>
      <c r="KXP12" s="101"/>
      <c r="KXQ12" s="101"/>
      <c r="KXR12" s="101"/>
      <c r="KXS12" s="101"/>
      <c r="KXT12" s="101"/>
      <c r="KXU12" s="101"/>
      <c r="KXV12" s="101"/>
      <c r="KXW12" s="101"/>
      <c r="KXX12" s="101"/>
      <c r="KXY12" s="101"/>
      <c r="KXZ12" s="101"/>
      <c r="KYA12" s="101"/>
      <c r="KYB12" s="101"/>
      <c r="KYC12" s="101"/>
      <c r="KYD12" s="101"/>
      <c r="KYE12" s="101"/>
      <c r="KYF12" s="101"/>
      <c r="KYG12" s="101"/>
      <c r="KYH12" s="101"/>
      <c r="KYI12" s="101"/>
      <c r="KYJ12" s="101"/>
      <c r="KYK12" s="101"/>
      <c r="KYL12" s="101"/>
      <c r="KYM12" s="101"/>
      <c r="KYN12" s="101"/>
      <c r="KYO12" s="101"/>
      <c r="KYP12" s="101"/>
      <c r="KYQ12" s="101"/>
      <c r="KYR12" s="101"/>
      <c r="KYS12" s="101"/>
      <c r="KYT12" s="101"/>
      <c r="KYU12" s="101"/>
      <c r="KYV12" s="101"/>
      <c r="KYW12" s="101"/>
      <c r="KYX12" s="101"/>
      <c r="KYY12" s="101"/>
      <c r="KYZ12" s="101"/>
      <c r="KZA12" s="101"/>
      <c r="KZB12" s="101"/>
      <c r="KZC12" s="101"/>
      <c r="KZD12" s="101"/>
      <c r="KZE12" s="101"/>
      <c r="KZF12" s="101"/>
      <c r="KZG12" s="101"/>
      <c r="KZH12" s="101"/>
      <c r="KZI12" s="101"/>
      <c r="KZJ12" s="101"/>
      <c r="KZK12" s="101"/>
      <c r="KZL12" s="101"/>
      <c r="KZM12" s="101"/>
      <c r="KZN12" s="101"/>
      <c r="KZO12" s="101"/>
      <c r="KZP12" s="101"/>
      <c r="KZQ12" s="101"/>
      <c r="KZR12" s="101"/>
      <c r="KZS12" s="101"/>
      <c r="KZT12" s="101"/>
      <c r="KZU12" s="101"/>
      <c r="KZV12" s="101"/>
      <c r="KZW12" s="101"/>
      <c r="KZX12" s="101"/>
      <c r="KZY12" s="101"/>
      <c r="KZZ12" s="101"/>
      <c r="LAA12" s="101"/>
      <c r="LAB12" s="101"/>
      <c r="LAC12" s="101"/>
      <c r="LAD12" s="101"/>
      <c r="LAE12" s="101"/>
      <c r="LAF12" s="101"/>
      <c r="LAG12" s="101"/>
      <c r="LAH12" s="101"/>
      <c r="LAI12" s="101"/>
      <c r="LAJ12" s="101"/>
      <c r="LAK12" s="101"/>
      <c r="LAL12" s="101"/>
      <c r="LAM12" s="101"/>
      <c r="LAN12" s="101"/>
      <c r="LAO12" s="101"/>
      <c r="LAP12" s="101"/>
      <c r="LAQ12" s="101"/>
      <c r="LAR12" s="101"/>
      <c r="LAS12" s="101"/>
      <c r="LAT12" s="101"/>
      <c r="LAU12" s="101"/>
      <c r="LAV12" s="101"/>
      <c r="LAW12" s="101"/>
      <c r="LAX12" s="101"/>
      <c r="LAY12" s="101"/>
      <c r="LAZ12" s="101"/>
      <c r="LBA12" s="101"/>
      <c r="LBB12" s="101"/>
      <c r="LBC12" s="101"/>
      <c r="LBD12" s="101"/>
      <c r="LBE12" s="101"/>
      <c r="LBF12" s="101"/>
      <c r="LBG12" s="101"/>
      <c r="LBH12" s="101"/>
      <c r="LBI12" s="101"/>
      <c r="LBJ12" s="101"/>
      <c r="LBK12" s="101"/>
      <c r="LBL12" s="101"/>
      <c r="LBM12" s="101"/>
      <c r="LBN12" s="101"/>
      <c r="LBO12" s="101"/>
      <c r="LBP12" s="101"/>
      <c r="LBQ12" s="101"/>
      <c r="LBR12" s="101"/>
      <c r="LBS12" s="101"/>
      <c r="LBT12" s="101"/>
      <c r="LBU12" s="101"/>
      <c r="LBV12" s="101"/>
      <c r="LBW12" s="101"/>
      <c r="LBX12" s="101"/>
      <c r="LBY12" s="101"/>
      <c r="LBZ12" s="101"/>
      <c r="LCA12" s="101"/>
      <c r="LCB12" s="101"/>
      <c r="LCC12" s="101"/>
      <c r="LCD12" s="101"/>
      <c r="LCE12" s="101"/>
      <c r="LCF12" s="101"/>
      <c r="LCG12" s="101"/>
      <c r="LCH12" s="101"/>
      <c r="LCI12" s="101"/>
      <c r="LCJ12" s="101"/>
      <c r="LCK12" s="101"/>
      <c r="LCL12" s="101"/>
      <c r="LCM12" s="101"/>
      <c r="LCN12" s="101"/>
      <c r="LCO12" s="101"/>
      <c r="LCP12" s="101"/>
      <c r="LCQ12" s="101"/>
      <c r="LCR12" s="101"/>
      <c r="LCS12" s="101"/>
      <c r="LCT12" s="101"/>
      <c r="LCU12" s="101"/>
      <c r="LCV12" s="101"/>
      <c r="LCW12" s="101"/>
      <c r="LCX12" s="101"/>
      <c r="LCY12" s="101"/>
      <c r="LCZ12" s="101"/>
      <c r="LDA12" s="101"/>
      <c r="LDB12" s="101"/>
      <c r="LDC12" s="101"/>
      <c r="LDD12" s="101"/>
      <c r="LDE12" s="101"/>
      <c r="LDF12" s="101"/>
      <c r="LDG12" s="101"/>
      <c r="LDH12" s="101"/>
      <c r="LDI12" s="101"/>
      <c r="LDJ12" s="101"/>
      <c r="LDK12" s="101"/>
      <c r="LDL12" s="101"/>
      <c r="LDM12" s="101"/>
      <c r="LDN12" s="101"/>
      <c r="LDO12" s="101"/>
      <c r="LDP12" s="101"/>
      <c r="LDQ12" s="101"/>
      <c r="LDR12" s="101"/>
      <c r="LDS12" s="101"/>
      <c r="LDT12" s="101"/>
      <c r="LDU12" s="101"/>
      <c r="LDV12" s="101"/>
      <c r="LDW12" s="101"/>
      <c r="LDX12" s="101"/>
      <c r="LDY12" s="101"/>
      <c r="LDZ12" s="101"/>
      <c r="LEA12" s="101"/>
      <c r="LEB12" s="101"/>
      <c r="LEC12" s="101"/>
      <c r="LED12" s="101"/>
      <c r="LEE12" s="101"/>
      <c r="LEF12" s="101"/>
      <c r="LEG12" s="101"/>
      <c r="LEH12" s="101"/>
      <c r="LEI12" s="101"/>
      <c r="LEJ12" s="101"/>
      <c r="LEK12" s="101"/>
      <c r="LEL12" s="101"/>
      <c r="LEM12" s="101"/>
      <c r="LEN12" s="101"/>
      <c r="LEO12" s="101"/>
      <c r="LEP12" s="101"/>
      <c r="LEQ12" s="101"/>
      <c r="LER12" s="101"/>
      <c r="LES12" s="101"/>
      <c r="LET12" s="101"/>
      <c r="LEU12" s="101"/>
      <c r="LEV12" s="101"/>
      <c r="LEW12" s="101"/>
      <c r="LEX12" s="101"/>
      <c r="LEY12" s="101"/>
      <c r="LEZ12" s="101"/>
      <c r="LFA12" s="101"/>
      <c r="LFB12" s="101"/>
      <c r="LFC12" s="101"/>
      <c r="LFD12" s="101"/>
      <c r="LFE12" s="101"/>
      <c r="LFF12" s="101"/>
      <c r="LFG12" s="101"/>
      <c r="LFH12" s="101"/>
      <c r="LFI12" s="101"/>
      <c r="LFJ12" s="101"/>
      <c r="LFK12" s="101"/>
      <c r="LFL12" s="101"/>
      <c r="LFM12" s="101"/>
      <c r="LFN12" s="101"/>
      <c r="LFO12" s="101"/>
      <c r="LFP12" s="101"/>
      <c r="LFQ12" s="101"/>
      <c r="LFR12" s="101"/>
      <c r="LFS12" s="101"/>
      <c r="LFT12" s="101"/>
      <c r="LFU12" s="101"/>
      <c r="LFV12" s="101"/>
      <c r="LFW12" s="101"/>
      <c r="LFX12" s="101"/>
      <c r="LFY12" s="101"/>
      <c r="LFZ12" s="101"/>
      <c r="LGA12" s="101"/>
      <c r="LGB12" s="101"/>
      <c r="LGC12" s="101"/>
      <c r="LGD12" s="101"/>
      <c r="LGE12" s="101"/>
      <c r="LGF12" s="101"/>
      <c r="LGG12" s="101"/>
      <c r="LGH12" s="101"/>
      <c r="LGI12" s="101"/>
      <c r="LGJ12" s="101"/>
      <c r="LGK12" s="101"/>
      <c r="LGL12" s="101"/>
      <c r="LGM12" s="101"/>
      <c r="LGN12" s="101"/>
      <c r="LGO12" s="101"/>
      <c r="LGP12" s="101"/>
      <c r="LGQ12" s="101"/>
      <c r="LGR12" s="101"/>
      <c r="LGS12" s="101"/>
      <c r="LGT12" s="101"/>
      <c r="LGU12" s="101"/>
      <c r="LGV12" s="101"/>
      <c r="LGW12" s="101"/>
      <c r="LGX12" s="101"/>
      <c r="LGY12" s="101"/>
      <c r="LGZ12" s="101"/>
      <c r="LHA12" s="101"/>
      <c r="LHB12" s="101"/>
      <c r="LHC12" s="101"/>
      <c r="LHD12" s="101"/>
      <c r="LHE12" s="101"/>
      <c r="LHF12" s="101"/>
      <c r="LHG12" s="101"/>
      <c r="LHH12" s="101"/>
      <c r="LHI12" s="101"/>
      <c r="LHJ12" s="101"/>
      <c r="LHK12" s="101"/>
      <c r="LHL12" s="101"/>
      <c r="LHM12" s="101"/>
      <c r="LHN12" s="101"/>
      <c r="LHO12" s="101"/>
      <c r="LHP12" s="101"/>
      <c r="LHQ12" s="101"/>
      <c r="LHR12" s="101"/>
      <c r="LHS12" s="101"/>
      <c r="LHT12" s="101"/>
      <c r="LHU12" s="101"/>
      <c r="LHV12" s="101"/>
      <c r="LHW12" s="101"/>
      <c r="LHX12" s="101"/>
      <c r="LHY12" s="101"/>
      <c r="LHZ12" s="101"/>
      <c r="LIA12" s="101"/>
      <c r="LIB12" s="101"/>
      <c r="LIC12" s="101"/>
      <c r="LID12" s="101"/>
      <c r="LIE12" s="101"/>
      <c r="LIF12" s="101"/>
      <c r="LIG12" s="101"/>
      <c r="LIH12" s="101"/>
      <c r="LII12" s="101"/>
      <c r="LIJ12" s="101"/>
      <c r="LIK12" s="101"/>
      <c r="LIL12" s="101"/>
      <c r="LIM12" s="101"/>
      <c r="LIN12" s="101"/>
      <c r="LIO12" s="101"/>
      <c r="LIP12" s="101"/>
      <c r="LIQ12" s="101"/>
      <c r="LIR12" s="101"/>
      <c r="LIS12" s="101"/>
      <c r="LIT12" s="101"/>
      <c r="LIU12" s="101"/>
      <c r="LIV12" s="101"/>
      <c r="LIW12" s="101"/>
      <c r="LIX12" s="101"/>
      <c r="LIY12" s="101"/>
      <c r="LIZ12" s="101"/>
      <c r="LJA12" s="101"/>
      <c r="LJB12" s="101"/>
      <c r="LJC12" s="101"/>
      <c r="LJD12" s="101"/>
      <c r="LJE12" s="101"/>
      <c r="LJF12" s="101"/>
      <c r="LJG12" s="101"/>
      <c r="LJH12" s="101"/>
      <c r="LJI12" s="101"/>
      <c r="LJJ12" s="101"/>
      <c r="LJK12" s="101"/>
      <c r="LJL12" s="101"/>
      <c r="LJM12" s="101"/>
      <c r="LJN12" s="101"/>
      <c r="LJO12" s="101"/>
      <c r="LJP12" s="101"/>
      <c r="LJQ12" s="101"/>
      <c r="LJR12" s="101"/>
      <c r="LJS12" s="101"/>
      <c r="LJT12" s="101"/>
      <c r="LJU12" s="101"/>
      <c r="LJV12" s="101"/>
      <c r="LJW12" s="101"/>
      <c r="LJX12" s="101"/>
      <c r="LJY12" s="101"/>
      <c r="LJZ12" s="101"/>
      <c r="LKA12" s="101"/>
      <c r="LKB12" s="101"/>
      <c r="LKC12" s="101"/>
      <c r="LKD12" s="101"/>
      <c r="LKE12" s="101"/>
      <c r="LKF12" s="101"/>
      <c r="LKG12" s="101"/>
      <c r="LKH12" s="101"/>
      <c r="LKI12" s="101"/>
      <c r="LKJ12" s="101"/>
      <c r="LKK12" s="101"/>
      <c r="LKL12" s="101"/>
      <c r="LKM12" s="101"/>
      <c r="LKN12" s="101"/>
      <c r="LKO12" s="101"/>
      <c r="LKP12" s="101"/>
      <c r="LKQ12" s="101"/>
      <c r="LKR12" s="101"/>
      <c r="LKS12" s="101"/>
      <c r="LKT12" s="101"/>
      <c r="LKU12" s="101"/>
      <c r="LKV12" s="101"/>
      <c r="LKW12" s="101"/>
      <c r="LKX12" s="101"/>
      <c r="LKY12" s="101"/>
      <c r="LKZ12" s="101"/>
      <c r="LLA12" s="101"/>
      <c r="LLB12" s="101"/>
      <c r="LLC12" s="101"/>
      <c r="LLD12" s="101"/>
      <c r="LLE12" s="101"/>
      <c r="LLF12" s="101"/>
      <c r="LLG12" s="101"/>
      <c r="LLH12" s="101"/>
      <c r="LLI12" s="101"/>
      <c r="LLJ12" s="101"/>
      <c r="LLK12" s="101"/>
      <c r="LLL12" s="101"/>
      <c r="LLM12" s="101"/>
      <c r="LLN12" s="101"/>
      <c r="LLO12" s="101"/>
      <c r="LLP12" s="101"/>
      <c r="LLQ12" s="101"/>
      <c r="LLR12" s="101"/>
      <c r="LLS12" s="101"/>
      <c r="LLT12" s="101"/>
      <c r="LLU12" s="101"/>
      <c r="LLV12" s="101"/>
      <c r="LLW12" s="101"/>
      <c r="LLX12" s="101"/>
      <c r="LLY12" s="101"/>
      <c r="LLZ12" s="101"/>
      <c r="LMA12" s="101"/>
      <c r="LMB12" s="101"/>
      <c r="LMC12" s="101"/>
      <c r="LMD12" s="101"/>
      <c r="LME12" s="101"/>
      <c r="LMF12" s="101"/>
      <c r="LMG12" s="101"/>
      <c r="LMH12" s="101"/>
      <c r="LMI12" s="101"/>
      <c r="LMJ12" s="101"/>
      <c r="LMK12" s="101"/>
      <c r="LML12" s="101"/>
      <c r="LMM12" s="101"/>
      <c r="LMN12" s="101"/>
      <c r="LMO12" s="101"/>
      <c r="LMP12" s="101"/>
      <c r="LMQ12" s="101"/>
      <c r="LMR12" s="101"/>
      <c r="LMS12" s="101"/>
      <c r="LMT12" s="101"/>
      <c r="LMU12" s="101"/>
      <c r="LMV12" s="101"/>
      <c r="LMW12" s="101"/>
      <c r="LMX12" s="101"/>
      <c r="LMY12" s="101"/>
      <c r="LMZ12" s="101"/>
      <c r="LNA12" s="101"/>
      <c r="LNB12" s="101"/>
      <c r="LNC12" s="101"/>
      <c r="LND12" s="101"/>
      <c r="LNE12" s="101"/>
      <c r="LNF12" s="101"/>
      <c r="LNG12" s="101"/>
      <c r="LNH12" s="101"/>
      <c r="LNI12" s="101"/>
      <c r="LNJ12" s="101"/>
      <c r="LNK12" s="101"/>
      <c r="LNL12" s="101"/>
      <c r="LNM12" s="101"/>
      <c r="LNN12" s="101"/>
      <c r="LNO12" s="101"/>
      <c r="LNP12" s="101"/>
      <c r="LNQ12" s="101"/>
      <c r="LNR12" s="101"/>
      <c r="LNS12" s="101"/>
      <c r="LNT12" s="101"/>
      <c r="LNU12" s="101"/>
      <c r="LNV12" s="101"/>
      <c r="LNW12" s="101"/>
      <c r="LNX12" s="101"/>
      <c r="LNY12" s="101"/>
      <c r="LNZ12" s="101"/>
      <c r="LOA12" s="101"/>
      <c r="LOB12" s="101"/>
      <c r="LOC12" s="101"/>
      <c r="LOD12" s="101"/>
      <c r="LOE12" s="101"/>
      <c r="LOF12" s="101"/>
      <c r="LOG12" s="101"/>
      <c r="LOH12" s="101"/>
      <c r="LOI12" s="101"/>
      <c r="LOJ12" s="101"/>
      <c r="LOK12" s="101"/>
      <c r="LOL12" s="101"/>
      <c r="LOM12" s="101"/>
      <c r="LON12" s="101"/>
      <c r="LOO12" s="101"/>
      <c r="LOP12" s="101"/>
      <c r="LOQ12" s="101"/>
      <c r="LOR12" s="101"/>
      <c r="LOS12" s="101"/>
      <c r="LOT12" s="101"/>
      <c r="LOU12" s="101"/>
      <c r="LOV12" s="101"/>
      <c r="LOW12" s="101"/>
      <c r="LOX12" s="101"/>
      <c r="LOY12" s="101"/>
      <c r="LOZ12" s="101"/>
      <c r="LPA12" s="101"/>
      <c r="LPB12" s="101"/>
      <c r="LPC12" s="101"/>
      <c r="LPD12" s="101"/>
      <c r="LPE12" s="101"/>
      <c r="LPF12" s="101"/>
      <c r="LPG12" s="101"/>
      <c r="LPH12" s="101"/>
      <c r="LPI12" s="101"/>
      <c r="LPJ12" s="101"/>
      <c r="LPK12" s="101"/>
      <c r="LPL12" s="101"/>
      <c r="LPM12" s="101"/>
      <c r="LPN12" s="101"/>
      <c r="LPO12" s="101"/>
      <c r="LPP12" s="101"/>
      <c r="LPQ12" s="101"/>
      <c r="LPR12" s="101"/>
      <c r="LPS12" s="101"/>
      <c r="LPT12" s="101"/>
      <c r="LPU12" s="101"/>
      <c r="LPV12" s="101"/>
      <c r="LPW12" s="101"/>
      <c r="LPX12" s="101"/>
      <c r="LPY12" s="101"/>
      <c r="LPZ12" s="101"/>
      <c r="LQA12" s="101"/>
      <c r="LQB12" s="101"/>
      <c r="LQC12" s="101"/>
      <c r="LQD12" s="101"/>
      <c r="LQE12" s="101"/>
      <c r="LQF12" s="101"/>
      <c r="LQG12" s="101"/>
      <c r="LQH12" s="101"/>
      <c r="LQI12" s="101"/>
      <c r="LQJ12" s="101"/>
      <c r="LQK12" s="101"/>
      <c r="LQL12" s="101"/>
      <c r="LQM12" s="101"/>
      <c r="LQN12" s="101"/>
      <c r="LQO12" s="101"/>
      <c r="LQP12" s="101"/>
      <c r="LQQ12" s="101"/>
      <c r="LQR12" s="101"/>
      <c r="LQS12" s="101"/>
      <c r="LQT12" s="101"/>
      <c r="LQU12" s="101"/>
      <c r="LQV12" s="101"/>
      <c r="LQW12" s="101"/>
      <c r="LQX12" s="101"/>
      <c r="LQY12" s="101"/>
      <c r="LQZ12" s="101"/>
      <c r="LRA12" s="101"/>
      <c r="LRB12" s="101"/>
      <c r="LRC12" s="101"/>
      <c r="LRD12" s="101"/>
      <c r="LRE12" s="101"/>
      <c r="LRF12" s="101"/>
      <c r="LRG12" s="101"/>
      <c r="LRH12" s="101"/>
      <c r="LRI12" s="101"/>
      <c r="LRJ12" s="101"/>
      <c r="LRK12" s="101"/>
      <c r="LRL12" s="101"/>
      <c r="LRM12" s="101"/>
      <c r="LRN12" s="101"/>
      <c r="LRO12" s="101"/>
      <c r="LRP12" s="101"/>
      <c r="LRQ12" s="101"/>
      <c r="LRR12" s="101"/>
      <c r="LRS12" s="101"/>
      <c r="LRT12" s="101"/>
      <c r="LRU12" s="101"/>
      <c r="LRV12" s="101"/>
      <c r="LRW12" s="101"/>
      <c r="LRX12" s="101"/>
      <c r="LRY12" s="101"/>
      <c r="LRZ12" s="101"/>
      <c r="LSA12" s="101"/>
      <c r="LSB12" s="101"/>
      <c r="LSC12" s="101"/>
      <c r="LSD12" s="101"/>
      <c r="LSE12" s="101"/>
      <c r="LSF12" s="101"/>
      <c r="LSG12" s="101"/>
      <c r="LSH12" s="101"/>
      <c r="LSI12" s="101"/>
      <c r="LSJ12" s="101"/>
      <c r="LSK12" s="101"/>
      <c r="LSL12" s="101"/>
      <c r="LSM12" s="101"/>
      <c r="LSN12" s="101"/>
      <c r="LSO12" s="101"/>
      <c r="LSP12" s="101"/>
      <c r="LSQ12" s="101"/>
      <c r="LSR12" s="101"/>
      <c r="LSS12" s="101"/>
      <c r="LST12" s="101"/>
      <c r="LSU12" s="101"/>
      <c r="LSV12" s="101"/>
      <c r="LSW12" s="101"/>
      <c r="LSX12" s="101"/>
      <c r="LSY12" s="101"/>
      <c r="LSZ12" s="101"/>
      <c r="LTA12" s="101"/>
      <c r="LTB12" s="101"/>
      <c r="LTC12" s="101"/>
      <c r="LTD12" s="101"/>
      <c r="LTE12" s="101"/>
      <c r="LTF12" s="101"/>
      <c r="LTG12" s="101"/>
      <c r="LTH12" s="101"/>
      <c r="LTI12" s="101"/>
      <c r="LTJ12" s="101"/>
      <c r="LTK12" s="101"/>
      <c r="LTL12" s="101"/>
      <c r="LTM12" s="101"/>
      <c r="LTN12" s="101"/>
      <c r="LTO12" s="101"/>
      <c r="LTP12" s="101"/>
      <c r="LTQ12" s="101"/>
      <c r="LTR12" s="101"/>
      <c r="LTS12" s="101"/>
      <c r="LTT12" s="101"/>
      <c r="LTU12" s="101"/>
      <c r="LTV12" s="101"/>
      <c r="LTW12" s="101"/>
      <c r="LTX12" s="101"/>
      <c r="LTY12" s="101"/>
      <c r="LTZ12" s="101"/>
      <c r="LUA12" s="101"/>
      <c r="LUB12" s="101"/>
      <c r="LUC12" s="101"/>
      <c r="LUD12" s="101"/>
      <c r="LUE12" s="101"/>
      <c r="LUF12" s="101"/>
      <c r="LUG12" s="101"/>
      <c r="LUH12" s="101"/>
      <c r="LUI12" s="101"/>
      <c r="LUJ12" s="101"/>
      <c r="LUK12" s="101"/>
      <c r="LUL12" s="101"/>
      <c r="LUM12" s="101"/>
      <c r="LUN12" s="101"/>
      <c r="LUO12" s="101"/>
      <c r="LUP12" s="101"/>
      <c r="LUQ12" s="101"/>
      <c r="LUR12" s="101"/>
      <c r="LUS12" s="101"/>
      <c r="LUT12" s="101"/>
      <c r="LUU12" s="101"/>
      <c r="LUV12" s="101"/>
      <c r="LUW12" s="101"/>
      <c r="LUX12" s="101"/>
      <c r="LUY12" s="101"/>
      <c r="LUZ12" s="101"/>
      <c r="LVA12" s="101"/>
      <c r="LVB12" s="101"/>
      <c r="LVC12" s="101"/>
      <c r="LVD12" s="101"/>
      <c r="LVE12" s="101"/>
      <c r="LVF12" s="101"/>
      <c r="LVG12" s="101"/>
      <c r="LVH12" s="101"/>
      <c r="LVI12" s="101"/>
      <c r="LVJ12" s="101"/>
      <c r="LVK12" s="101"/>
      <c r="LVL12" s="101"/>
      <c r="LVM12" s="101"/>
      <c r="LVN12" s="101"/>
      <c r="LVO12" s="101"/>
      <c r="LVP12" s="101"/>
      <c r="LVQ12" s="101"/>
      <c r="LVR12" s="101"/>
      <c r="LVS12" s="101"/>
      <c r="LVT12" s="101"/>
      <c r="LVU12" s="101"/>
      <c r="LVV12" s="101"/>
      <c r="LVW12" s="101"/>
      <c r="LVX12" s="101"/>
      <c r="LVY12" s="101"/>
      <c r="LVZ12" s="101"/>
      <c r="LWA12" s="101"/>
      <c r="LWB12" s="101"/>
      <c r="LWC12" s="101"/>
      <c r="LWD12" s="101"/>
      <c r="LWE12" s="101"/>
      <c r="LWF12" s="101"/>
      <c r="LWG12" s="101"/>
      <c r="LWH12" s="101"/>
      <c r="LWI12" s="101"/>
      <c r="LWJ12" s="101"/>
      <c r="LWK12" s="101"/>
      <c r="LWL12" s="101"/>
      <c r="LWM12" s="101"/>
      <c r="LWN12" s="101"/>
      <c r="LWO12" s="101"/>
      <c r="LWP12" s="101"/>
      <c r="LWQ12" s="101"/>
      <c r="LWR12" s="101"/>
      <c r="LWS12" s="101"/>
      <c r="LWT12" s="101"/>
      <c r="LWU12" s="101"/>
      <c r="LWV12" s="101"/>
      <c r="LWW12" s="101"/>
      <c r="LWX12" s="101"/>
      <c r="LWY12" s="101"/>
      <c r="LWZ12" s="101"/>
      <c r="LXA12" s="101"/>
      <c r="LXB12" s="101"/>
      <c r="LXC12" s="101"/>
      <c r="LXD12" s="101"/>
      <c r="LXE12" s="101"/>
      <c r="LXF12" s="101"/>
      <c r="LXG12" s="101"/>
      <c r="LXH12" s="101"/>
      <c r="LXI12" s="101"/>
      <c r="LXJ12" s="101"/>
      <c r="LXK12" s="101"/>
      <c r="LXL12" s="101"/>
      <c r="LXM12" s="101"/>
      <c r="LXN12" s="101"/>
      <c r="LXO12" s="101"/>
      <c r="LXP12" s="101"/>
      <c r="LXQ12" s="101"/>
      <c r="LXR12" s="101"/>
      <c r="LXS12" s="101"/>
      <c r="LXT12" s="101"/>
      <c r="LXU12" s="101"/>
      <c r="LXV12" s="101"/>
      <c r="LXW12" s="101"/>
      <c r="LXX12" s="101"/>
      <c r="LXY12" s="101"/>
      <c r="LXZ12" s="101"/>
      <c r="LYA12" s="101"/>
      <c r="LYB12" s="101"/>
      <c r="LYC12" s="101"/>
      <c r="LYD12" s="101"/>
      <c r="LYE12" s="101"/>
      <c r="LYF12" s="101"/>
      <c r="LYG12" s="101"/>
      <c r="LYH12" s="101"/>
      <c r="LYI12" s="101"/>
      <c r="LYJ12" s="101"/>
      <c r="LYK12" s="101"/>
      <c r="LYL12" s="101"/>
      <c r="LYM12" s="101"/>
      <c r="LYN12" s="101"/>
      <c r="LYO12" s="101"/>
      <c r="LYP12" s="101"/>
      <c r="LYQ12" s="101"/>
      <c r="LYR12" s="101"/>
      <c r="LYS12" s="101"/>
      <c r="LYT12" s="101"/>
      <c r="LYU12" s="101"/>
      <c r="LYV12" s="101"/>
      <c r="LYW12" s="101"/>
      <c r="LYX12" s="101"/>
      <c r="LYY12" s="101"/>
      <c r="LYZ12" s="101"/>
      <c r="LZA12" s="101"/>
      <c r="LZB12" s="101"/>
      <c r="LZC12" s="101"/>
      <c r="LZD12" s="101"/>
      <c r="LZE12" s="101"/>
      <c r="LZF12" s="101"/>
      <c r="LZG12" s="101"/>
      <c r="LZH12" s="101"/>
      <c r="LZI12" s="101"/>
      <c r="LZJ12" s="101"/>
      <c r="LZK12" s="101"/>
      <c r="LZL12" s="101"/>
      <c r="LZM12" s="101"/>
      <c r="LZN12" s="101"/>
      <c r="LZO12" s="101"/>
      <c r="LZP12" s="101"/>
      <c r="LZQ12" s="101"/>
      <c r="LZR12" s="101"/>
      <c r="LZS12" s="101"/>
      <c r="LZT12" s="101"/>
      <c r="LZU12" s="101"/>
      <c r="LZV12" s="101"/>
      <c r="LZW12" s="101"/>
      <c r="LZX12" s="101"/>
      <c r="LZY12" s="101"/>
      <c r="LZZ12" s="101"/>
      <c r="MAA12" s="101"/>
      <c r="MAB12" s="101"/>
      <c r="MAC12" s="101"/>
      <c r="MAD12" s="101"/>
      <c r="MAE12" s="101"/>
      <c r="MAF12" s="101"/>
      <c r="MAG12" s="101"/>
      <c r="MAH12" s="101"/>
      <c r="MAI12" s="101"/>
      <c r="MAJ12" s="101"/>
      <c r="MAK12" s="101"/>
      <c r="MAL12" s="101"/>
      <c r="MAM12" s="101"/>
      <c r="MAN12" s="101"/>
      <c r="MAO12" s="101"/>
      <c r="MAP12" s="101"/>
      <c r="MAQ12" s="101"/>
      <c r="MAR12" s="101"/>
      <c r="MAS12" s="101"/>
      <c r="MAT12" s="101"/>
      <c r="MAU12" s="101"/>
      <c r="MAV12" s="101"/>
      <c r="MAW12" s="101"/>
      <c r="MAX12" s="101"/>
      <c r="MAY12" s="101"/>
      <c r="MAZ12" s="101"/>
      <c r="MBA12" s="101"/>
      <c r="MBB12" s="101"/>
      <c r="MBC12" s="101"/>
      <c r="MBD12" s="101"/>
      <c r="MBE12" s="101"/>
      <c r="MBF12" s="101"/>
      <c r="MBG12" s="101"/>
      <c r="MBH12" s="101"/>
      <c r="MBI12" s="101"/>
      <c r="MBJ12" s="101"/>
      <c r="MBK12" s="101"/>
      <c r="MBL12" s="101"/>
      <c r="MBM12" s="101"/>
      <c r="MBN12" s="101"/>
      <c r="MBO12" s="101"/>
      <c r="MBP12" s="101"/>
      <c r="MBQ12" s="101"/>
      <c r="MBR12" s="101"/>
      <c r="MBS12" s="101"/>
      <c r="MBT12" s="101"/>
      <c r="MBU12" s="101"/>
      <c r="MBV12" s="101"/>
      <c r="MBW12" s="101"/>
      <c r="MBX12" s="101"/>
      <c r="MBY12" s="101"/>
      <c r="MBZ12" s="101"/>
      <c r="MCA12" s="101"/>
      <c r="MCB12" s="101"/>
      <c r="MCC12" s="101"/>
      <c r="MCD12" s="101"/>
      <c r="MCE12" s="101"/>
      <c r="MCF12" s="101"/>
      <c r="MCG12" s="101"/>
      <c r="MCH12" s="101"/>
      <c r="MCI12" s="101"/>
      <c r="MCJ12" s="101"/>
      <c r="MCK12" s="101"/>
      <c r="MCL12" s="101"/>
      <c r="MCM12" s="101"/>
      <c r="MCN12" s="101"/>
      <c r="MCO12" s="101"/>
      <c r="MCP12" s="101"/>
      <c r="MCQ12" s="101"/>
      <c r="MCR12" s="101"/>
      <c r="MCS12" s="101"/>
      <c r="MCT12" s="101"/>
      <c r="MCU12" s="101"/>
      <c r="MCV12" s="101"/>
      <c r="MCW12" s="101"/>
      <c r="MCX12" s="101"/>
      <c r="MCY12" s="101"/>
      <c r="MCZ12" s="101"/>
      <c r="MDA12" s="101"/>
      <c r="MDB12" s="101"/>
      <c r="MDC12" s="101"/>
      <c r="MDD12" s="101"/>
      <c r="MDE12" s="101"/>
      <c r="MDF12" s="101"/>
      <c r="MDG12" s="101"/>
      <c r="MDH12" s="101"/>
      <c r="MDI12" s="101"/>
      <c r="MDJ12" s="101"/>
      <c r="MDK12" s="101"/>
      <c r="MDL12" s="101"/>
      <c r="MDM12" s="101"/>
      <c r="MDN12" s="101"/>
      <c r="MDO12" s="101"/>
      <c r="MDP12" s="101"/>
      <c r="MDQ12" s="101"/>
      <c r="MDR12" s="101"/>
      <c r="MDS12" s="101"/>
      <c r="MDT12" s="101"/>
      <c r="MDU12" s="101"/>
      <c r="MDV12" s="101"/>
      <c r="MDW12" s="101"/>
      <c r="MDX12" s="101"/>
      <c r="MDY12" s="101"/>
      <c r="MDZ12" s="101"/>
      <c r="MEA12" s="101"/>
      <c r="MEB12" s="101"/>
      <c r="MEC12" s="101"/>
      <c r="MED12" s="101"/>
      <c r="MEE12" s="101"/>
      <c r="MEF12" s="101"/>
      <c r="MEG12" s="101"/>
      <c r="MEH12" s="101"/>
      <c r="MEI12" s="101"/>
      <c r="MEJ12" s="101"/>
      <c r="MEK12" s="101"/>
      <c r="MEL12" s="101"/>
      <c r="MEM12" s="101"/>
      <c r="MEN12" s="101"/>
      <c r="MEO12" s="101"/>
      <c r="MEP12" s="101"/>
      <c r="MEQ12" s="101"/>
      <c r="MER12" s="101"/>
      <c r="MES12" s="101"/>
      <c r="MET12" s="101"/>
      <c r="MEU12" s="101"/>
      <c r="MEV12" s="101"/>
      <c r="MEW12" s="101"/>
      <c r="MEX12" s="101"/>
      <c r="MEY12" s="101"/>
      <c r="MEZ12" s="101"/>
      <c r="MFA12" s="101"/>
      <c r="MFB12" s="101"/>
      <c r="MFC12" s="101"/>
      <c r="MFD12" s="101"/>
      <c r="MFE12" s="101"/>
      <c r="MFF12" s="101"/>
      <c r="MFG12" s="101"/>
      <c r="MFH12" s="101"/>
      <c r="MFI12" s="101"/>
      <c r="MFJ12" s="101"/>
      <c r="MFK12" s="101"/>
      <c r="MFL12" s="101"/>
      <c r="MFM12" s="101"/>
      <c r="MFN12" s="101"/>
      <c r="MFO12" s="101"/>
      <c r="MFP12" s="101"/>
      <c r="MFQ12" s="101"/>
      <c r="MFR12" s="101"/>
      <c r="MFS12" s="101"/>
      <c r="MFT12" s="101"/>
      <c r="MFU12" s="101"/>
      <c r="MFV12" s="101"/>
      <c r="MFW12" s="101"/>
      <c r="MFX12" s="101"/>
      <c r="MFY12" s="101"/>
      <c r="MFZ12" s="101"/>
      <c r="MGA12" s="101"/>
      <c r="MGB12" s="101"/>
      <c r="MGC12" s="101"/>
      <c r="MGD12" s="101"/>
      <c r="MGE12" s="101"/>
      <c r="MGF12" s="101"/>
      <c r="MGG12" s="101"/>
      <c r="MGH12" s="101"/>
      <c r="MGI12" s="101"/>
      <c r="MGJ12" s="101"/>
      <c r="MGK12" s="101"/>
      <c r="MGL12" s="101"/>
      <c r="MGM12" s="101"/>
      <c r="MGN12" s="101"/>
      <c r="MGO12" s="101"/>
      <c r="MGP12" s="101"/>
      <c r="MGQ12" s="101"/>
      <c r="MGR12" s="101"/>
      <c r="MGS12" s="101"/>
      <c r="MGT12" s="101"/>
      <c r="MGU12" s="101"/>
      <c r="MGV12" s="101"/>
      <c r="MGW12" s="101"/>
      <c r="MGX12" s="101"/>
      <c r="MGY12" s="101"/>
      <c r="MGZ12" s="101"/>
      <c r="MHA12" s="101"/>
      <c r="MHB12" s="101"/>
      <c r="MHC12" s="101"/>
      <c r="MHD12" s="101"/>
      <c r="MHE12" s="101"/>
      <c r="MHF12" s="101"/>
      <c r="MHG12" s="101"/>
      <c r="MHH12" s="101"/>
      <c r="MHI12" s="101"/>
      <c r="MHJ12" s="101"/>
      <c r="MHK12" s="101"/>
      <c r="MHL12" s="101"/>
      <c r="MHM12" s="101"/>
      <c r="MHN12" s="101"/>
      <c r="MHO12" s="101"/>
      <c r="MHP12" s="101"/>
      <c r="MHQ12" s="101"/>
      <c r="MHR12" s="101"/>
      <c r="MHS12" s="101"/>
      <c r="MHT12" s="101"/>
      <c r="MHU12" s="101"/>
      <c r="MHV12" s="101"/>
      <c r="MHW12" s="101"/>
      <c r="MHX12" s="101"/>
      <c r="MHY12" s="101"/>
      <c r="MHZ12" s="101"/>
      <c r="MIA12" s="101"/>
      <c r="MIB12" s="101"/>
      <c r="MIC12" s="101"/>
      <c r="MID12" s="101"/>
      <c r="MIE12" s="101"/>
      <c r="MIF12" s="101"/>
      <c r="MIG12" s="101"/>
      <c r="MIH12" s="101"/>
      <c r="MII12" s="101"/>
      <c r="MIJ12" s="101"/>
      <c r="MIK12" s="101"/>
      <c r="MIL12" s="101"/>
      <c r="MIM12" s="101"/>
      <c r="MIN12" s="101"/>
      <c r="MIO12" s="101"/>
      <c r="MIP12" s="101"/>
      <c r="MIQ12" s="101"/>
      <c r="MIR12" s="101"/>
      <c r="MIS12" s="101"/>
      <c r="MIT12" s="101"/>
      <c r="MIU12" s="101"/>
      <c r="MIV12" s="101"/>
      <c r="MIW12" s="101"/>
      <c r="MIX12" s="101"/>
      <c r="MIY12" s="101"/>
      <c r="MIZ12" s="101"/>
      <c r="MJA12" s="101"/>
      <c r="MJB12" s="101"/>
      <c r="MJC12" s="101"/>
      <c r="MJD12" s="101"/>
      <c r="MJE12" s="101"/>
      <c r="MJF12" s="101"/>
      <c r="MJG12" s="101"/>
      <c r="MJH12" s="101"/>
      <c r="MJI12" s="101"/>
      <c r="MJJ12" s="101"/>
      <c r="MJK12" s="101"/>
      <c r="MJL12" s="101"/>
      <c r="MJM12" s="101"/>
      <c r="MJN12" s="101"/>
      <c r="MJO12" s="101"/>
      <c r="MJP12" s="101"/>
      <c r="MJQ12" s="101"/>
      <c r="MJR12" s="101"/>
      <c r="MJS12" s="101"/>
      <c r="MJT12" s="101"/>
      <c r="MJU12" s="101"/>
      <c r="MJV12" s="101"/>
      <c r="MJW12" s="101"/>
      <c r="MJX12" s="101"/>
      <c r="MJY12" s="101"/>
      <c r="MJZ12" s="101"/>
      <c r="MKA12" s="101"/>
      <c r="MKB12" s="101"/>
      <c r="MKC12" s="101"/>
      <c r="MKD12" s="101"/>
      <c r="MKE12" s="101"/>
      <c r="MKF12" s="101"/>
      <c r="MKG12" s="101"/>
      <c r="MKH12" s="101"/>
      <c r="MKI12" s="101"/>
      <c r="MKJ12" s="101"/>
      <c r="MKK12" s="101"/>
      <c r="MKL12" s="101"/>
      <c r="MKM12" s="101"/>
      <c r="MKN12" s="101"/>
      <c r="MKO12" s="101"/>
      <c r="MKP12" s="101"/>
      <c r="MKQ12" s="101"/>
      <c r="MKR12" s="101"/>
      <c r="MKS12" s="101"/>
      <c r="MKT12" s="101"/>
      <c r="MKU12" s="101"/>
      <c r="MKV12" s="101"/>
      <c r="MKW12" s="101"/>
      <c r="MKX12" s="101"/>
      <c r="MKY12" s="101"/>
      <c r="MKZ12" s="101"/>
      <c r="MLA12" s="101"/>
      <c r="MLB12" s="101"/>
      <c r="MLC12" s="101"/>
      <c r="MLD12" s="101"/>
      <c r="MLE12" s="101"/>
      <c r="MLF12" s="101"/>
      <c r="MLG12" s="101"/>
      <c r="MLH12" s="101"/>
      <c r="MLI12" s="101"/>
      <c r="MLJ12" s="101"/>
      <c r="MLK12" s="101"/>
      <c r="MLL12" s="101"/>
      <c r="MLM12" s="101"/>
      <c r="MLN12" s="101"/>
      <c r="MLO12" s="101"/>
      <c r="MLP12" s="101"/>
      <c r="MLQ12" s="101"/>
      <c r="MLR12" s="101"/>
      <c r="MLS12" s="101"/>
      <c r="MLT12" s="101"/>
      <c r="MLU12" s="101"/>
      <c r="MLV12" s="101"/>
      <c r="MLW12" s="101"/>
      <c r="MLX12" s="101"/>
      <c r="MLY12" s="101"/>
      <c r="MLZ12" s="101"/>
      <c r="MMA12" s="101"/>
      <c r="MMB12" s="101"/>
      <c r="MMC12" s="101"/>
      <c r="MMD12" s="101"/>
      <c r="MME12" s="101"/>
      <c r="MMF12" s="101"/>
      <c r="MMG12" s="101"/>
      <c r="MMH12" s="101"/>
      <c r="MMI12" s="101"/>
      <c r="MMJ12" s="101"/>
      <c r="MMK12" s="101"/>
      <c r="MML12" s="101"/>
      <c r="MMM12" s="101"/>
      <c r="MMN12" s="101"/>
      <c r="MMO12" s="101"/>
      <c r="MMP12" s="101"/>
      <c r="MMQ12" s="101"/>
      <c r="MMR12" s="101"/>
      <c r="MMS12" s="101"/>
      <c r="MMT12" s="101"/>
      <c r="MMU12" s="101"/>
      <c r="MMV12" s="101"/>
      <c r="MMW12" s="101"/>
      <c r="MMX12" s="101"/>
      <c r="MMY12" s="101"/>
      <c r="MMZ12" s="101"/>
      <c r="MNA12" s="101"/>
      <c r="MNB12" s="101"/>
      <c r="MNC12" s="101"/>
      <c r="MND12" s="101"/>
      <c r="MNE12" s="101"/>
      <c r="MNF12" s="101"/>
      <c r="MNG12" s="101"/>
      <c r="MNH12" s="101"/>
      <c r="MNI12" s="101"/>
      <c r="MNJ12" s="101"/>
      <c r="MNK12" s="101"/>
      <c r="MNL12" s="101"/>
      <c r="MNM12" s="101"/>
      <c r="MNN12" s="101"/>
      <c r="MNO12" s="101"/>
      <c r="MNP12" s="101"/>
      <c r="MNQ12" s="101"/>
      <c r="MNR12" s="101"/>
      <c r="MNS12" s="101"/>
      <c r="MNT12" s="101"/>
      <c r="MNU12" s="101"/>
      <c r="MNV12" s="101"/>
      <c r="MNW12" s="101"/>
      <c r="MNX12" s="101"/>
      <c r="MNY12" s="101"/>
      <c r="MNZ12" s="101"/>
      <c r="MOA12" s="101"/>
      <c r="MOB12" s="101"/>
      <c r="MOC12" s="101"/>
      <c r="MOD12" s="101"/>
      <c r="MOE12" s="101"/>
      <c r="MOF12" s="101"/>
      <c r="MOG12" s="101"/>
      <c r="MOH12" s="101"/>
      <c r="MOI12" s="101"/>
      <c r="MOJ12" s="101"/>
      <c r="MOK12" s="101"/>
      <c r="MOL12" s="101"/>
      <c r="MOM12" s="101"/>
      <c r="MON12" s="101"/>
      <c r="MOO12" s="101"/>
      <c r="MOP12" s="101"/>
      <c r="MOQ12" s="101"/>
      <c r="MOR12" s="101"/>
      <c r="MOS12" s="101"/>
      <c r="MOT12" s="101"/>
      <c r="MOU12" s="101"/>
      <c r="MOV12" s="101"/>
      <c r="MOW12" s="101"/>
      <c r="MOX12" s="101"/>
      <c r="MOY12" s="101"/>
      <c r="MOZ12" s="101"/>
      <c r="MPA12" s="101"/>
      <c r="MPB12" s="101"/>
      <c r="MPC12" s="101"/>
      <c r="MPD12" s="101"/>
      <c r="MPE12" s="101"/>
      <c r="MPF12" s="101"/>
      <c r="MPG12" s="101"/>
      <c r="MPH12" s="101"/>
      <c r="MPI12" s="101"/>
      <c r="MPJ12" s="101"/>
      <c r="MPK12" s="101"/>
      <c r="MPL12" s="101"/>
      <c r="MPM12" s="101"/>
      <c r="MPN12" s="101"/>
      <c r="MPO12" s="101"/>
      <c r="MPP12" s="101"/>
      <c r="MPQ12" s="101"/>
      <c r="MPR12" s="101"/>
      <c r="MPS12" s="101"/>
      <c r="MPT12" s="101"/>
      <c r="MPU12" s="101"/>
      <c r="MPV12" s="101"/>
      <c r="MPW12" s="101"/>
      <c r="MPX12" s="101"/>
      <c r="MPY12" s="101"/>
      <c r="MPZ12" s="101"/>
      <c r="MQA12" s="101"/>
      <c r="MQB12" s="101"/>
      <c r="MQC12" s="101"/>
      <c r="MQD12" s="101"/>
      <c r="MQE12" s="101"/>
      <c r="MQF12" s="101"/>
      <c r="MQG12" s="101"/>
      <c r="MQH12" s="101"/>
      <c r="MQI12" s="101"/>
      <c r="MQJ12" s="101"/>
      <c r="MQK12" s="101"/>
      <c r="MQL12" s="101"/>
      <c r="MQM12" s="101"/>
      <c r="MQN12" s="101"/>
      <c r="MQO12" s="101"/>
      <c r="MQP12" s="101"/>
      <c r="MQQ12" s="101"/>
      <c r="MQR12" s="101"/>
      <c r="MQS12" s="101"/>
      <c r="MQT12" s="101"/>
      <c r="MQU12" s="101"/>
      <c r="MQV12" s="101"/>
      <c r="MQW12" s="101"/>
      <c r="MQX12" s="101"/>
      <c r="MQY12" s="101"/>
      <c r="MQZ12" s="101"/>
      <c r="MRA12" s="101"/>
      <c r="MRB12" s="101"/>
      <c r="MRC12" s="101"/>
      <c r="MRD12" s="101"/>
      <c r="MRE12" s="101"/>
      <c r="MRF12" s="101"/>
      <c r="MRG12" s="101"/>
      <c r="MRH12" s="101"/>
      <c r="MRI12" s="101"/>
      <c r="MRJ12" s="101"/>
      <c r="MRK12" s="101"/>
      <c r="MRL12" s="101"/>
      <c r="MRM12" s="101"/>
      <c r="MRN12" s="101"/>
      <c r="MRO12" s="101"/>
      <c r="MRP12" s="101"/>
      <c r="MRQ12" s="101"/>
      <c r="MRR12" s="101"/>
      <c r="MRS12" s="101"/>
      <c r="MRT12" s="101"/>
      <c r="MRU12" s="101"/>
      <c r="MRV12" s="101"/>
      <c r="MRW12" s="101"/>
      <c r="MRX12" s="101"/>
      <c r="MRY12" s="101"/>
      <c r="MRZ12" s="101"/>
      <c r="MSA12" s="101"/>
      <c r="MSB12" s="101"/>
      <c r="MSC12" s="101"/>
      <c r="MSD12" s="101"/>
      <c r="MSE12" s="101"/>
      <c r="MSF12" s="101"/>
      <c r="MSG12" s="101"/>
      <c r="MSH12" s="101"/>
      <c r="MSI12" s="101"/>
      <c r="MSJ12" s="101"/>
      <c r="MSK12" s="101"/>
      <c r="MSL12" s="101"/>
      <c r="MSM12" s="101"/>
      <c r="MSN12" s="101"/>
      <c r="MSO12" s="101"/>
      <c r="MSP12" s="101"/>
      <c r="MSQ12" s="101"/>
      <c r="MSR12" s="101"/>
      <c r="MSS12" s="101"/>
      <c r="MST12" s="101"/>
      <c r="MSU12" s="101"/>
      <c r="MSV12" s="101"/>
      <c r="MSW12" s="101"/>
      <c r="MSX12" s="101"/>
      <c r="MSY12" s="101"/>
      <c r="MSZ12" s="101"/>
      <c r="MTA12" s="101"/>
      <c r="MTB12" s="101"/>
      <c r="MTC12" s="101"/>
      <c r="MTD12" s="101"/>
      <c r="MTE12" s="101"/>
      <c r="MTF12" s="101"/>
      <c r="MTG12" s="101"/>
      <c r="MTH12" s="101"/>
      <c r="MTI12" s="101"/>
      <c r="MTJ12" s="101"/>
      <c r="MTK12" s="101"/>
      <c r="MTL12" s="101"/>
      <c r="MTM12" s="101"/>
      <c r="MTN12" s="101"/>
      <c r="MTO12" s="101"/>
      <c r="MTP12" s="101"/>
      <c r="MTQ12" s="101"/>
      <c r="MTR12" s="101"/>
      <c r="MTS12" s="101"/>
      <c r="MTT12" s="101"/>
      <c r="MTU12" s="101"/>
      <c r="MTV12" s="101"/>
      <c r="MTW12" s="101"/>
      <c r="MTX12" s="101"/>
      <c r="MTY12" s="101"/>
      <c r="MTZ12" s="101"/>
      <c r="MUA12" s="101"/>
      <c r="MUB12" s="101"/>
      <c r="MUC12" s="101"/>
      <c r="MUD12" s="101"/>
      <c r="MUE12" s="101"/>
      <c r="MUF12" s="101"/>
      <c r="MUG12" s="101"/>
      <c r="MUH12" s="101"/>
      <c r="MUI12" s="101"/>
      <c r="MUJ12" s="101"/>
      <c r="MUK12" s="101"/>
      <c r="MUL12" s="101"/>
      <c r="MUM12" s="101"/>
      <c r="MUN12" s="101"/>
      <c r="MUO12" s="101"/>
      <c r="MUP12" s="101"/>
      <c r="MUQ12" s="101"/>
      <c r="MUR12" s="101"/>
      <c r="MUS12" s="101"/>
      <c r="MUT12" s="101"/>
      <c r="MUU12" s="101"/>
      <c r="MUV12" s="101"/>
      <c r="MUW12" s="101"/>
      <c r="MUX12" s="101"/>
      <c r="MUY12" s="101"/>
      <c r="MUZ12" s="101"/>
      <c r="MVA12" s="101"/>
      <c r="MVB12" s="101"/>
      <c r="MVC12" s="101"/>
      <c r="MVD12" s="101"/>
      <c r="MVE12" s="101"/>
      <c r="MVF12" s="101"/>
      <c r="MVG12" s="101"/>
      <c r="MVH12" s="101"/>
      <c r="MVI12" s="101"/>
      <c r="MVJ12" s="101"/>
      <c r="MVK12" s="101"/>
      <c r="MVL12" s="101"/>
      <c r="MVM12" s="101"/>
      <c r="MVN12" s="101"/>
      <c r="MVO12" s="101"/>
      <c r="MVP12" s="101"/>
      <c r="MVQ12" s="101"/>
      <c r="MVR12" s="101"/>
      <c r="MVS12" s="101"/>
      <c r="MVT12" s="101"/>
      <c r="MVU12" s="101"/>
      <c r="MVV12" s="101"/>
      <c r="MVW12" s="101"/>
      <c r="MVX12" s="101"/>
      <c r="MVY12" s="101"/>
      <c r="MVZ12" s="101"/>
      <c r="MWA12" s="101"/>
      <c r="MWB12" s="101"/>
      <c r="MWC12" s="101"/>
      <c r="MWD12" s="101"/>
      <c r="MWE12" s="101"/>
      <c r="MWF12" s="101"/>
      <c r="MWG12" s="101"/>
      <c r="MWH12" s="101"/>
      <c r="MWI12" s="101"/>
      <c r="MWJ12" s="101"/>
      <c r="MWK12" s="101"/>
      <c r="MWL12" s="101"/>
      <c r="MWM12" s="101"/>
      <c r="MWN12" s="101"/>
      <c r="MWO12" s="101"/>
      <c r="MWP12" s="101"/>
      <c r="MWQ12" s="101"/>
      <c r="MWR12" s="101"/>
      <c r="MWS12" s="101"/>
      <c r="MWT12" s="101"/>
      <c r="MWU12" s="101"/>
      <c r="MWV12" s="101"/>
      <c r="MWW12" s="101"/>
      <c r="MWX12" s="101"/>
      <c r="MWY12" s="101"/>
      <c r="MWZ12" s="101"/>
      <c r="MXA12" s="101"/>
      <c r="MXB12" s="101"/>
      <c r="MXC12" s="101"/>
      <c r="MXD12" s="101"/>
      <c r="MXE12" s="101"/>
      <c r="MXF12" s="101"/>
      <c r="MXG12" s="101"/>
      <c r="MXH12" s="101"/>
      <c r="MXI12" s="101"/>
      <c r="MXJ12" s="101"/>
      <c r="MXK12" s="101"/>
      <c r="MXL12" s="101"/>
      <c r="MXM12" s="101"/>
      <c r="MXN12" s="101"/>
      <c r="MXO12" s="101"/>
      <c r="MXP12" s="101"/>
      <c r="MXQ12" s="101"/>
      <c r="MXR12" s="101"/>
      <c r="MXS12" s="101"/>
      <c r="MXT12" s="101"/>
      <c r="MXU12" s="101"/>
      <c r="MXV12" s="101"/>
      <c r="MXW12" s="101"/>
      <c r="MXX12" s="101"/>
      <c r="MXY12" s="101"/>
      <c r="MXZ12" s="101"/>
      <c r="MYA12" s="101"/>
      <c r="MYB12" s="101"/>
      <c r="MYC12" s="101"/>
      <c r="MYD12" s="101"/>
      <c r="MYE12" s="101"/>
      <c r="MYF12" s="101"/>
      <c r="MYG12" s="101"/>
      <c r="MYH12" s="101"/>
      <c r="MYI12" s="101"/>
      <c r="MYJ12" s="101"/>
      <c r="MYK12" s="101"/>
      <c r="MYL12" s="101"/>
      <c r="MYM12" s="101"/>
      <c r="MYN12" s="101"/>
      <c r="MYO12" s="101"/>
      <c r="MYP12" s="101"/>
      <c r="MYQ12" s="101"/>
      <c r="MYR12" s="101"/>
      <c r="MYS12" s="101"/>
      <c r="MYT12" s="101"/>
      <c r="MYU12" s="101"/>
      <c r="MYV12" s="101"/>
      <c r="MYW12" s="101"/>
      <c r="MYX12" s="101"/>
      <c r="MYY12" s="101"/>
      <c r="MYZ12" s="101"/>
      <c r="MZA12" s="101"/>
      <c r="MZB12" s="101"/>
      <c r="MZC12" s="101"/>
      <c r="MZD12" s="101"/>
      <c r="MZE12" s="101"/>
      <c r="MZF12" s="101"/>
      <c r="MZG12" s="101"/>
      <c r="MZH12" s="101"/>
      <c r="MZI12" s="101"/>
      <c r="MZJ12" s="101"/>
      <c r="MZK12" s="101"/>
      <c r="MZL12" s="101"/>
      <c r="MZM12" s="101"/>
      <c r="MZN12" s="101"/>
      <c r="MZO12" s="101"/>
      <c r="MZP12" s="101"/>
      <c r="MZQ12" s="101"/>
      <c r="MZR12" s="101"/>
      <c r="MZS12" s="101"/>
      <c r="MZT12" s="101"/>
      <c r="MZU12" s="101"/>
      <c r="MZV12" s="101"/>
      <c r="MZW12" s="101"/>
      <c r="MZX12" s="101"/>
      <c r="MZY12" s="101"/>
      <c r="MZZ12" s="101"/>
      <c r="NAA12" s="101"/>
      <c r="NAB12" s="101"/>
      <c r="NAC12" s="101"/>
      <c r="NAD12" s="101"/>
      <c r="NAE12" s="101"/>
      <c r="NAF12" s="101"/>
      <c r="NAG12" s="101"/>
      <c r="NAH12" s="101"/>
      <c r="NAI12" s="101"/>
      <c r="NAJ12" s="101"/>
      <c r="NAK12" s="101"/>
      <c r="NAL12" s="101"/>
      <c r="NAM12" s="101"/>
      <c r="NAN12" s="101"/>
      <c r="NAO12" s="101"/>
      <c r="NAP12" s="101"/>
      <c r="NAQ12" s="101"/>
      <c r="NAR12" s="101"/>
      <c r="NAS12" s="101"/>
      <c r="NAT12" s="101"/>
      <c r="NAU12" s="101"/>
      <c r="NAV12" s="101"/>
      <c r="NAW12" s="101"/>
      <c r="NAX12" s="101"/>
      <c r="NAY12" s="101"/>
      <c r="NAZ12" s="101"/>
      <c r="NBA12" s="101"/>
      <c r="NBB12" s="101"/>
      <c r="NBC12" s="101"/>
      <c r="NBD12" s="101"/>
      <c r="NBE12" s="101"/>
      <c r="NBF12" s="101"/>
      <c r="NBG12" s="101"/>
      <c r="NBH12" s="101"/>
      <c r="NBI12" s="101"/>
      <c r="NBJ12" s="101"/>
      <c r="NBK12" s="101"/>
      <c r="NBL12" s="101"/>
      <c r="NBM12" s="101"/>
      <c r="NBN12" s="101"/>
      <c r="NBO12" s="101"/>
      <c r="NBP12" s="101"/>
      <c r="NBQ12" s="101"/>
      <c r="NBR12" s="101"/>
      <c r="NBS12" s="101"/>
      <c r="NBT12" s="101"/>
      <c r="NBU12" s="101"/>
      <c r="NBV12" s="101"/>
      <c r="NBW12" s="101"/>
      <c r="NBX12" s="101"/>
      <c r="NBY12" s="101"/>
      <c r="NBZ12" s="101"/>
      <c r="NCA12" s="101"/>
      <c r="NCB12" s="101"/>
      <c r="NCC12" s="101"/>
      <c r="NCD12" s="101"/>
      <c r="NCE12" s="101"/>
      <c r="NCF12" s="101"/>
      <c r="NCG12" s="101"/>
      <c r="NCH12" s="101"/>
      <c r="NCI12" s="101"/>
      <c r="NCJ12" s="101"/>
      <c r="NCK12" s="101"/>
      <c r="NCL12" s="101"/>
      <c r="NCM12" s="101"/>
      <c r="NCN12" s="101"/>
      <c r="NCO12" s="101"/>
      <c r="NCP12" s="101"/>
      <c r="NCQ12" s="101"/>
      <c r="NCR12" s="101"/>
      <c r="NCS12" s="101"/>
      <c r="NCT12" s="101"/>
      <c r="NCU12" s="101"/>
      <c r="NCV12" s="101"/>
      <c r="NCW12" s="101"/>
      <c r="NCX12" s="101"/>
      <c r="NCY12" s="101"/>
      <c r="NCZ12" s="101"/>
      <c r="NDA12" s="101"/>
      <c r="NDB12" s="101"/>
      <c r="NDC12" s="101"/>
      <c r="NDD12" s="101"/>
      <c r="NDE12" s="101"/>
      <c r="NDF12" s="101"/>
      <c r="NDG12" s="101"/>
      <c r="NDH12" s="101"/>
      <c r="NDI12" s="101"/>
      <c r="NDJ12" s="101"/>
      <c r="NDK12" s="101"/>
      <c r="NDL12" s="101"/>
      <c r="NDM12" s="101"/>
      <c r="NDN12" s="101"/>
      <c r="NDO12" s="101"/>
      <c r="NDP12" s="101"/>
      <c r="NDQ12" s="101"/>
      <c r="NDR12" s="101"/>
      <c r="NDS12" s="101"/>
      <c r="NDT12" s="101"/>
      <c r="NDU12" s="101"/>
      <c r="NDV12" s="101"/>
      <c r="NDW12" s="101"/>
      <c r="NDX12" s="101"/>
      <c r="NDY12" s="101"/>
      <c r="NDZ12" s="101"/>
      <c r="NEA12" s="101"/>
      <c r="NEB12" s="101"/>
      <c r="NEC12" s="101"/>
      <c r="NED12" s="101"/>
      <c r="NEE12" s="101"/>
      <c r="NEF12" s="101"/>
      <c r="NEG12" s="101"/>
      <c r="NEH12" s="101"/>
      <c r="NEI12" s="101"/>
      <c r="NEJ12" s="101"/>
      <c r="NEK12" s="101"/>
      <c r="NEL12" s="101"/>
      <c r="NEM12" s="101"/>
      <c r="NEN12" s="101"/>
      <c r="NEO12" s="101"/>
      <c r="NEP12" s="101"/>
      <c r="NEQ12" s="101"/>
      <c r="NER12" s="101"/>
      <c r="NES12" s="101"/>
      <c r="NET12" s="101"/>
      <c r="NEU12" s="101"/>
      <c r="NEV12" s="101"/>
      <c r="NEW12" s="101"/>
      <c r="NEX12" s="101"/>
      <c r="NEY12" s="101"/>
      <c r="NEZ12" s="101"/>
      <c r="NFA12" s="101"/>
      <c r="NFB12" s="101"/>
      <c r="NFC12" s="101"/>
      <c r="NFD12" s="101"/>
      <c r="NFE12" s="101"/>
      <c r="NFF12" s="101"/>
      <c r="NFG12" s="101"/>
      <c r="NFH12" s="101"/>
      <c r="NFI12" s="101"/>
      <c r="NFJ12" s="101"/>
      <c r="NFK12" s="101"/>
      <c r="NFL12" s="101"/>
      <c r="NFM12" s="101"/>
      <c r="NFN12" s="101"/>
      <c r="NFO12" s="101"/>
      <c r="NFP12" s="101"/>
      <c r="NFQ12" s="101"/>
      <c r="NFR12" s="101"/>
      <c r="NFS12" s="101"/>
      <c r="NFT12" s="101"/>
      <c r="NFU12" s="101"/>
      <c r="NFV12" s="101"/>
      <c r="NFW12" s="101"/>
      <c r="NFX12" s="101"/>
      <c r="NFY12" s="101"/>
      <c r="NFZ12" s="101"/>
      <c r="NGA12" s="101"/>
      <c r="NGB12" s="101"/>
      <c r="NGC12" s="101"/>
      <c r="NGD12" s="101"/>
      <c r="NGE12" s="101"/>
      <c r="NGF12" s="101"/>
      <c r="NGG12" s="101"/>
      <c r="NGH12" s="101"/>
      <c r="NGI12" s="101"/>
      <c r="NGJ12" s="101"/>
      <c r="NGK12" s="101"/>
      <c r="NGL12" s="101"/>
      <c r="NGM12" s="101"/>
      <c r="NGN12" s="101"/>
      <c r="NGO12" s="101"/>
      <c r="NGP12" s="101"/>
      <c r="NGQ12" s="101"/>
      <c r="NGR12" s="101"/>
      <c r="NGS12" s="101"/>
      <c r="NGT12" s="101"/>
      <c r="NGU12" s="101"/>
      <c r="NGV12" s="101"/>
      <c r="NGW12" s="101"/>
      <c r="NGX12" s="101"/>
      <c r="NGY12" s="101"/>
      <c r="NGZ12" s="101"/>
      <c r="NHA12" s="101"/>
      <c r="NHB12" s="101"/>
      <c r="NHC12" s="101"/>
      <c r="NHD12" s="101"/>
      <c r="NHE12" s="101"/>
      <c r="NHF12" s="101"/>
      <c r="NHG12" s="101"/>
      <c r="NHH12" s="101"/>
      <c r="NHI12" s="101"/>
      <c r="NHJ12" s="101"/>
      <c r="NHK12" s="101"/>
      <c r="NHL12" s="101"/>
      <c r="NHM12" s="101"/>
      <c r="NHN12" s="101"/>
      <c r="NHO12" s="101"/>
      <c r="NHP12" s="101"/>
      <c r="NHQ12" s="101"/>
      <c r="NHR12" s="101"/>
      <c r="NHS12" s="101"/>
      <c r="NHT12" s="101"/>
      <c r="NHU12" s="101"/>
      <c r="NHV12" s="101"/>
      <c r="NHW12" s="101"/>
      <c r="NHX12" s="101"/>
      <c r="NHY12" s="101"/>
      <c r="NHZ12" s="101"/>
      <c r="NIA12" s="101"/>
      <c r="NIB12" s="101"/>
      <c r="NIC12" s="101"/>
      <c r="NID12" s="101"/>
      <c r="NIE12" s="101"/>
      <c r="NIF12" s="101"/>
      <c r="NIG12" s="101"/>
      <c r="NIH12" s="101"/>
      <c r="NII12" s="101"/>
      <c r="NIJ12" s="101"/>
      <c r="NIK12" s="101"/>
      <c r="NIL12" s="101"/>
      <c r="NIM12" s="101"/>
      <c r="NIN12" s="101"/>
      <c r="NIO12" s="101"/>
      <c r="NIP12" s="101"/>
      <c r="NIQ12" s="101"/>
      <c r="NIR12" s="101"/>
      <c r="NIS12" s="101"/>
      <c r="NIT12" s="101"/>
      <c r="NIU12" s="101"/>
      <c r="NIV12" s="101"/>
      <c r="NIW12" s="101"/>
      <c r="NIX12" s="101"/>
      <c r="NIY12" s="101"/>
      <c r="NIZ12" s="101"/>
      <c r="NJA12" s="101"/>
      <c r="NJB12" s="101"/>
      <c r="NJC12" s="101"/>
      <c r="NJD12" s="101"/>
      <c r="NJE12" s="101"/>
      <c r="NJF12" s="101"/>
      <c r="NJG12" s="101"/>
      <c r="NJH12" s="101"/>
      <c r="NJI12" s="101"/>
      <c r="NJJ12" s="101"/>
      <c r="NJK12" s="101"/>
      <c r="NJL12" s="101"/>
      <c r="NJM12" s="101"/>
      <c r="NJN12" s="101"/>
      <c r="NJO12" s="101"/>
      <c r="NJP12" s="101"/>
      <c r="NJQ12" s="101"/>
      <c r="NJR12" s="101"/>
      <c r="NJS12" s="101"/>
      <c r="NJT12" s="101"/>
      <c r="NJU12" s="101"/>
      <c r="NJV12" s="101"/>
      <c r="NJW12" s="101"/>
      <c r="NJX12" s="101"/>
      <c r="NJY12" s="101"/>
      <c r="NJZ12" s="101"/>
      <c r="NKA12" s="101"/>
      <c r="NKB12" s="101"/>
      <c r="NKC12" s="101"/>
      <c r="NKD12" s="101"/>
      <c r="NKE12" s="101"/>
      <c r="NKF12" s="101"/>
      <c r="NKG12" s="101"/>
      <c r="NKH12" s="101"/>
      <c r="NKI12" s="101"/>
      <c r="NKJ12" s="101"/>
      <c r="NKK12" s="101"/>
      <c r="NKL12" s="101"/>
      <c r="NKM12" s="101"/>
      <c r="NKN12" s="101"/>
      <c r="NKO12" s="101"/>
      <c r="NKP12" s="101"/>
      <c r="NKQ12" s="101"/>
      <c r="NKR12" s="101"/>
      <c r="NKS12" s="101"/>
      <c r="NKT12" s="101"/>
      <c r="NKU12" s="101"/>
      <c r="NKV12" s="101"/>
      <c r="NKW12" s="101"/>
      <c r="NKX12" s="101"/>
      <c r="NKY12" s="101"/>
      <c r="NKZ12" s="101"/>
      <c r="NLA12" s="101"/>
      <c r="NLB12" s="101"/>
      <c r="NLC12" s="101"/>
      <c r="NLD12" s="101"/>
      <c r="NLE12" s="101"/>
      <c r="NLF12" s="101"/>
      <c r="NLG12" s="101"/>
      <c r="NLH12" s="101"/>
      <c r="NLI12" s="101"/>
      <c r="NLJ12" s="101"/>
      <c r="NLK12" s="101"/>
      <c r="NLL12" s="101"/>
      <c r="NLM12" s="101"/>
      <c r="NLN12" s="101"/>
      <c r="NLO12" s="101"/>
      <c r="NLP12" s="101"/>
      <c r="NLQ12" s="101"/>
      <c r="NLR12" s="101"/>
      <c r="NLS12" s="101"/>
      <c r="NLT12" s="101"/>
      <c r="NLU12" s="101"/>
      <c r="NLV12" s="101"/>
      <c r="NLW12" s="101"/>
      <c r="NLX12" s="101"/>
      <c r="NLY12" s="101"/>
      <c r="NLZ12" s="101"/>
      <c r="NMA12" s="101"/>
      <c r="NMB12" s="101"/>
      <c r="NMC12" s="101"/>
      <c r="NMD12" s="101"/>
      <c r="NME12" s="101"/>
      <c r="NMF12" s="101"/>
      <c r="NMG12" s="101"/>
      <c r="NMH12" s="101"/>
      <c r="NMI12" s="101"/>
      <c r="NMJ12" s="101"/>
      <c r="NMK12" s="101"/>
      <c r="NML12" s="101"/>
      <c r="NMM12" s="101"/>
      <c r="NMN12" s="101"/>
      <c r="NMO12" s="101"/>
      <c r="NMP12" s="101"/>
      <c r="NMQ12" s="101"/>
      <c r="NMR12" s="101"/>
      <c r="NMS12" s="101"/>
      <c r="NMT12" s="101"/>
      <c r="NMU12" s="101"/>
      <c r="NMV12" s="101"/>
      <c r="NMW12" s="101"/>
      <c r="NMX12" s="101"/>
      <c r="NMY12" s="101"/>
      <c r="NMZ12" s="101"/>
      <c r="NNA12" s="101"/>
      <c r="NNB12" s="101"/>
      <c r="NNC12" s="101"/>
      <c r="NND12" s="101"/>
      <c r="NNE12" s="101"/>
      <c r="NNF12" s="101"/>
      <c r="NNG12" s="101"/>
      <c r="NNH12" s="101"/>
      <c r="NNI12" s="101"/>
      <c r="NNJ12" s="101"/>
      <c r="NNK12" s="101"/>
      <c r="NNL12" s="101"/>
      <c r="NNM12" s="101"/>
      <c r="NNN12" s="101"/>
      <c r="NNO12" s="101"/>
      <c r="NNP12" s="101"/>
      <c r="NNQ12" s="101"/>
      <c r="NNR12" s="101"/>
      <c r="NNS12" s="101"/>
      <c r="NNT12" s="101"/>
      <c r="NNU12" s="101"/>
      <c r="NNV12" s="101"/>
      <c r="NNW12" s="101"/>
      <c r="NNX12" s="101"/>
      <c r="NNY12" s="101"/>
      <c r="NNZ12" s="101"/>
      <c r="NOA12" s="101"/>
      <c r="NOB12" s="101"/>
      <c r="NOC12" s="101"/>
      <c r="NOD12" s="101"/>
      <c r="NOE12" s="101"/>
      <c r="NOF12" s="101"/>
      <c r="NOG12" s="101"/>
      <c r="NOH12" s="101"/>
      <c r="NOI12" s="101"/>
      <c r="NOJ12" s="101"/>
      <c r="NOK12" s="101"/>
      <c r="NOL12" s="101"/>
      <c r="NOM12" s="101"/>
      <c r="NON12" s="101"/>
      <c r="NOO12" s="101"/>
      <c r="NOP12" s="101"/>
      <c r="NOQ12" s="101"/>
      <c r="NOR12" s="101"/>
      <c r="NOS12" s="101"/>
      <c r="NOT12" s="101"/>
      <c r="NOU12" s="101"/>
      <c r="NOV12" s="101"/>
      <c r="NOW12" s="101"/>
      <c r="NOX12" s="101"/>
      <c r="NOY12" s="101"/>
      <c r="NOZ12" s="101"/>
      <c r="NPA12" s="101"/>
      <c r="NPB12" s="101"/>
      <c r="NPC12" s="101"/>
      <c r="NPD12" s="101"/>
      <c r="NPE12" s="101"/>
      <c r="NPF12" s="101"/>
      <c r="NPG12" s="101"/>
      <c r="NPH12" s="101"/>
      <c r="NPI12" s="101"/>
      <c r="NPJ12" s="101"/>
      <c r="NPK12" s="101"/>
      <c r="NPL12" s="101"/>
      <c r="NPM12" s="101"/>
      <c r="NPN12" s="101"/>
      <c r="NPO12" s="101"/>
      <c r="NPP12" s="101"/>
      <c r="NPQ12" s="101"/>
      <c r="NPR12" s="101"/>
      <c r="NPS12" s="101"/>
      <c r="NPT12" s="101"/>
      <c r="NPU12" s="101"/>
      <c r="NPV12" s="101"/>
      <c r="NPW12" s="101"/>
      <c r="NPX12" s="101"/>
      <c r="NPY12" s="101"/>
      <c r="NPZ12" s="101"/>
      <c r="NQA12" s="101"/>
      <c r="NQB12" s="101"/>
      <c r="NQC12" s="101"/>
      <c r="NQD12" s="101"/>
      <c r="NQE12" s="101"/>
      <c r="NQF12" s="101"/>
      <c r="NQG12" s="101"/>
      <c r="NQH12" s="101"/>
      <c r="NQI12" s="101"/>
      <c r="NQJ12" s="101"/>
      <c r="NQK12" s="101"/>
      <c r="NQL12" s="101"/>
      <c r="NQM12" s="101"/>
      <c r="NQN12" s="101"/>
      <c r="NQO12" s="101"/>
      <c r="NQP12" s="101"/>
      <c r="NQQ12" s="101"/>
      <c r="NQR12" s="101"/>
      <c r="NQS12" s="101"/>
      <c r="NQT12" s="101"/>
      <c r="NQU12" s="101"/>
      <c r="NQV12" s="101"/>
      <c r="NQW12" s="101"/>
      <c r="NQX12" s="101"/>
      <c r="NQY12" s="101"/>
      <c r="NQZ12" s="101"/>
      <c r="NRA12" s="101"/>
      <c r="NRB12" s="101"/>
      <c r="NRC12" s="101"/>
      <c r="NRD12" s="101"/>
      <c r="NRE12" s="101"/>
      <c r="NRF12" s="101"/>
      <c r="NRG12" s="101"/>
      <c r="NRH12" s="101"/>
      <c r="NRI12" s="101"/>
      <c r="NRJ12" s="101"/>
      <c r="NRK12" s="101"/>
      <c r="NRL12" s="101"/>
      <c r="NRM12" s="101"/>
      <c r="NRN12" s="101"/>
      <c r="NRO12" s="101"/>
      <c r="NRP12" s="101"/>
      <c r="NRQ12" s="101"/>
      <c r="NRR12" s="101"/>
      <c r="NRS12" s="101"/>
      <c r="NRT12" s="101"/>
      <c r="NRU12" s="101"/>
      <c r="NRV12" s="101"/>
      <c r="NRW12" s="101"/>
      <c r="NRX12" s="101"/>
      <c r="NRY12" s="101"/>
      <c r="NRZ12" s="101"/>
      <c r="NSA12" s="101"/>
      <c r="NSB12" s="101"/>
      <c r="NSC12" s="101"/>
      <c r="NSD12" s="101"/>
      <c r="NSE12" s="101"/>
      <c r="NSF12" s="101"/>
      <c r="NSG12" s="101"/>
      <c r="NSH12" s="101"/>
      <c r="NSI12" s="101"/>
      <c r="NSJ12" s="101"/>
      <c r="NSK12" s="101"/>
      <c r="NSL12" s="101"/>
      <c r="NSM12" s="101"/>
      <c r="NSN12" s="101"/>
      <c r="NSO12" s="101"/>
      <c r="NSP12" s="101"/>
      <c r="NSQ12" s="101"/>
      <c r="NSR12" s="101"/>
      <c r="NSS12" s="101"/>
      <c r="NST12" s="101"/>
      <c r="NSU12" s="101"/>
      <c r="NSV12" s="101"/>
      <c r="NSW12" s="101"/>
      <c r="NSX12" s="101"/>
      <c r="NSY12" s="101"/>
      <c r="NSZ12" s="101"/>
      <c r="NTA12" s="101"/>
      <c r="NTB12" s="101"/>
      <c r="NTC12" s="101"/>
      <c r="NTD12" s="101"/>
      <c r="NTE12" s="101"/>
      <c r="NTF12" s="101"/>
      <c r="NTG12" s="101"/>
      <c r="NTH12" s="101"/>
      <c r="NTI12" s="101"/>
      <c r="NTJ12" s="101"/>
      <c r="NTK12" s="101"/>
      <c r="NTL12" s="101"/>
      <c r="NTM12" s="101"/>
      <c r="NTN12" s="101"/>
      <c r="NTO12" s="101"/>
      <c r="NTP12" s="101"/>
      <c r="NTQ12" s="101"/>
      <c r="NTR12" s="101"/>
      <c r="NTS12" s="101"/>
      <c r="NTT12" s="101"/>
      <c r="NTU12" s="101"/>
      <c r="NTV12" s="101"/>
      <c r="NTW12" s="101"/>
      <c r="NTX12" s="101"/>
      <c r="NTY12" s="101"/>
      <c r="NTZ12" s="101"/>
      <c r="NUA12" s="101"/>
      <c r="NUB12" s="101"/>
      <c r="NUC12" s="101"/>
      <c r="NUD12" s="101"/>
      <c r="NUE12" s="101"/>
      <c r="NUF12" s="101"/>
      <c r="NUG12" s="101"/>
      <c r="NUH12" s="101"/>
      <c r="NUI12" s="101"/>
      <c r="NUJ12" s="101"/>
      <c r="NUK12" s="101"/>
      <c r="NUL12" s="101"/>
      <c r="NUM12" s="101"/>
      <c r="NUN12" s="101"/>
      <c r="NUO12" s="101"/>
      <c r="NUP12" s="101"/>
      <c r="NUQ12" s="101"/>
      <c r="NUR12" s="101"/>
      <c r="NUS12" s="101"/>
      <c r="NUT12" s="101"/>
      <c r="NUU12" s="101"/>
      <c r="NUV12" s="101"/>
      <c r="NUW12" s="101"/>
      <c r="NUX12" s="101"/>
      <c r="NUY12" s="101"/>
      <c r="NUZ12" s="101"/>
      <c r="NVA12" s="101"/>
      <c r="NVB12" s="101"/>
      <c r="NVC12" s="101"/>
      <c r="NVD12" s="101"/>
      <c r="NVE12" s="101"/>
      <c r="NVF12" s="101"/>
      <c r="NVG12" s="101"/>
      <c r="NVH12" s="101"/>
      <c r="NVI12" s="101"/>
      <c r="NVJ12" s="101"/>
      <c r="NVK12" s="101"/>
      <c r="NVL12" s="101"/>
      <c r="NVM12" s="101"/>
      <c r="NVN12" s="101"/>
      <c r="NVO12" s="101"/>
      <c r="NVP12" s="101"/>
      <c r="NVQ12" s="101"/>
      <c r="NVR12" s="101"/>
      <c r="NVS12" s="101"/>
      <c r="NVT12" s="101"/>
      <c r="NVU12" s="101"/>
      <c r="NVV12" s="101"/>
      <c r="NVW12" s="101"/>
      <c r="NVX12" s="101"/>
      <c r="NVY12" s="101"/>
      <c r="NVZ12" s="101"/>
      <c r="NWA12" s="101"/>
      <c r="NWB12" s="101"/>
      <c r="NWC12" s="101"/>
      <c r="NWD12" s="101"/>
      <c r="NWE12" s="101"/>
      <c r="NWF12" s="101"/>
      <c r="NWG12" s="101"/>
      <c r="NWH12" s="101"/>
      <c r="NWI12" s="101"/>
      <c r="NWJ12" s="101"/>
      <c r="NWK12" s="101"/>
      <c r="NWL12" s="101"/>
      <c r="NWM12" s="101"/>
      <c r="NWN12" s="101"/>
      <c r="NWO12" s="101"/>
      <c r="NWP12" s="101"/>
      <c r="NWQ12" s="101"/>
      <c r="NWR12" s="101"/>
      <c r="NWS12" s="101"/>
      <c r="NWT12" s="101"/>
      <c r="NWU12" s="101"/>
      <c r="NWV12" s="101"/>
      <c r="NWW12" s="101"/>
      <c r="NWX12" s="101"/>
      <c r="NWY12" s="101"/>
      <c r="NWZ12" s="101"/>
      <c r="NXA12" s="101"/>
      <c r="NXB12" s="101"/>
      <c r="NXC12" s="101"/>
      <c r="NXD12" s="101"/>
      <c r="NXE12" s="101"/>
      <c r="NXF12" s="101"/>
      <c r="NXG12" s="101"/>
      <c r="NXH12" s="101"/>
      <c r="NXI12" s="101"/>
      <c r="NXJ12" s="101"/>
      <c r="NXK12" s="101"/>
      <c r="NXL12" s="101"/>
      <c r="NXM12" s="101"/>
      <c r="NXN12" s="101"/>
      <c r="NXO12" s="101"/>
      <c r="NXP12" s="101"/>
      <c r="NXQ12" s="101"/>
      <c r="NXR12" s="101"/>
      <c r="NXS12" s="101"/>
      <c r="NXT12" s="101"/>
      <c r="NXU12" s="101"/>
      <c r="NXV12" s="101"/>
      <c r="NXW12" s="101"/>
      <c r="NXX12" s="101"/>
      <c r="NXY12" s="101"/>
      <c r="NXZ12" s="101"/>
      <c r="NYA12" s="101"/>
      <c r="NYB12" s="101"/>
      <c r="NYC12" s="101"/>
      <c r="NYD12" s="101"/>
      <c r="NYE12" s="101"/>
      <c r="NYF12" s="101"/>
      <c r="NYG12" s="101"/>
      <c r="NYH12" s="101"/>
      <c r="NYI12" s="101"/>
      <c r="NYJ12" s="101"/>
      <c r="NYK12" s="101"/>
      <c r="NYL12" s="101"/>
      <c r="NYM12" s="101"/>
      <c r="NYN12" s="101"/>
      <c r="NYO12" s="101"/>
      <c r="NYP12" s="101"/>
      <c r="NYQ12" s="101"/>
      <c r="NYR12" s="101"/>
      <c r="NYS12" s="101"/>
      <c r="NYT12" s="101"/>
      <c r="NYU12" s="101"/>
      <c r="NYV12" s="101"/>
      <c r="NYW12" s="101"/>
      <c r="NYX12" s="101"/>
      <c r="NYY12" s="101"/>
      <c r="NYZ12" s="101"/>
      <c r="NZA12" s="101"/>
      <c r="NZB12" s="101"/>
      <c r="NZC12" s="101"/>
      <c r="NZD12" s="101"/>
      <c r="NZE12" s="101"/>
      <c r="NZF12" s="101"/>
      <c r="NZG12" s="101"/>
      <c r="NZH12" s="101"/>
      <c r="NZI12" s="101"/>
      <c r="NZJ12" s="101"/>
      <c r="NZK12" s="101"/>
      <c r="NZL12" s="101"/>
      <c r="NZM12" s="101"/>
      <c r="NZN12" s="101"/>
      <c r="NZO12" s="101"/>
      <c r="NZP12" s="101"/>
      <c r="NZQ12" s="101"/>
      <c r="NZR12" s="101"/>
      <c r="NZS12" s="101"/>
      <c r="NZT12" s="101"/>
      <c r="NZU12" s="101"/>
      <c r="NZV12" s="101"/>
      <c r="NZW12" s="101"/>
      <c r="NZX12" s="101"/>
      <c r="NZY12" s="101"/>
      <c r="NZZ12" s="101"/>
      <c r="OAA12" s="101"/>
      <c r="OAB12" s="101"/>
      <c r="OAC12" s="101"/>
      <c r="OAD12" s="101"/>
      <c r="OAE12" s="101"/>
      <c r="OAF12" s="101"/>
      <c r="OAG12" s="101"/>
      <c r="OAH12" s="101"/>
      <c r="OAI12" s="101"/>
      <c r="OAJ12" s="101"/>
      <c r="OAK12" s="101"/>
      <c r="OAL12" s="101"/>
      <c r="OAM12" s="101"/>
      <c r="OAN12" s="101"/>
      <c r="OAO12" s="101"/>
      <c r="OAP12" s="101"/>
      <c r="OAQ12" s="101"/>
      <c r="OAR12" s="101"/>
      <c r="OAS12" s="101"/>
      <c r="OAT12" s="101"/>
      <c r="OAU12" s="101"/>
      <c r="OAV12" s="101"/>
      <c r="OAW12" s="101"/>
      <c r="OAX12" s="101"/>
      <c r="OAY12" s="101"/>
      <c r="OAZ12" s="101"/>
      <c r="OBA12" s="101"/>
      <c r="OBB12" s="101"/>
      <c r="OBC12" s="101"/>
      <c r="OBD12" s="101"/>
      <c r="OBE12" s="101"/>
      <c r="OBF12" s="101"/>
      <c r="OBG12" s="101"/>
      <c r="OBH12" s="101"/>
      <c r="OBI12" s="101"/>
      <c r="OBJ12" s="101"/>
      <c r="OBK12" s="101"/>
      <c r="OBL12" s="101"/>
      <c r="OBM12" s="101"/>
      <c r="OBN12" s="101"/>
      <c r="OBO12" s="101"/>
      <c r="OBP12" s="101"/>
      <c r="OBQ12" s="101"/>
      <c r="OBR12" s="101"/>
      <c r="OBS12" s="101"/>
      <c r="OBT12" s="101"/>
      <c r="OBU12" s="101"/>
      <c r="OBV12" s="101"/>
      <c r="OBW12" s="101"/>
      <c r="OBX12" s="101"/>
      <c r="OBY12" s="101"/>
      <c r="OBZ12" s="101"/>
      <c r="OCA12" s="101"/>
      <c r="OCB12" s="101"/>
      <c r="OCC12" s="101"/>
      <c r="OCD12" s="101"/>
      <c r="OCE12" s="101"/>
      <c r="OCF12" s="101"/>
      <c r="OCG12" s="101"/>
      <c r="OCH12" s="101"/>
      <c r="OCI12" s="101"/>
      <c r="OCJ12" s="101"/>
      <c r="OCK12" s="101"/>
      <c r="OCL12" s="101"/>
      <c r="OCM12" s="101"/>
      <c r="OCN12" s="101"/>
      <c r="OCO12" s="101"/>
      <c r="OCP12" s="101"/>
      <c r="OCQ12" s="101"/>
      <c r="OCR12" s="101"/>
      <c r="OCS12" s="101"/>
      <c r="OCT12" s="101"/>
      <c r="OCU12" s="101"/>
      <c r="OCV12" s="101"/>
      <c r="OCW12" s="101"/>
      <c r="OCX12" s="101"/>
      <c r="OCY12" s="101"/>
      <c r="OCZ12" s="101"/>
      <c r="ODA12" s="101"/>
      <c r="ODB12" s="101"/>
      <c r="ODC12" s="101"/>
      <c r="ODD12" s="101"/>
      <c r="ODE12" s="101"/>
      <c r="ODF12" s="101"/>
      <c r="ODG12" s="101"/>
      <c r="ODH12" s="101"/>
      <c r="ODI12" s="101"/>
      <c r="ODJ12" s="101"/>
      <c r="ODK12" s="101"/>
      <c r="ODL12" s="101"/>
      <c r="ODM12" s="101"/>
      <c r="ODN12" s="101"/>
      <c r="ODO12" s="101"/>
      <c r="ODP12" s="101"/>
      <c r="ODQ12" s="101"/>
      <c r="ODR12" s="101"/>
      <c r="ODS12" s="101"/>
      <c r="ODT12" s="101"/>
      <c r="ODU12" s="101"/>
      <c r="ODV12" s="101"/>
      <c r="ODW12" s="101"/>
      <c r="ODX12" s="101"/>
      <c r="ODY12" s="101"/>
      <c r="ODZ12" s="101"/>
      <c r="OEA12" s="101"/>
      <c r="OEB12" s="101"/>
      <c r="OEC12" s="101"/>
      <c r="OED12" s="101"/>
      <c r="OEE12" s="101"/>
      <c r="OEF12" s="101"/>
      <c r="OEG12" s="101"/>
      <c r="OEH12" s="101"/>
      <c r="OEI12" s="101"/>
      <c r="OEJ12" s="101"/>
      <c r="OEK12" s="101"/>
      <c r="OEL12" s="101"/>
      <c r="OEM12" s="101"/>
      <c r="OEN12" s="101"/>
      <c r="OEO12" s="101"/>
      <c r="OEP12" s="101"/>
      <c r="OEQ12" s="101"/>
      <c r="OER12" s="101"/>
      <c r="OES12" s="101"/>
      <c r="OET12" s="101"/>
      <c r="OEU12" s="101"/>
      <c r="OEV12" s="101"/>
      <c r="OEW12" s="101"/>
      <c r="OEX12" s="101"/>
      <c r="OEY12" s="101"/>
      <c r="OEZ12" s="101"/>
      <c r="OFA12" s="101"/>
      <c r="OFB12" s="101"/>
      <c r="OFC12" s="101"/>
      <c r="OFD12" s="101"/>
      <c r="OFE12" s="101"/>
      <c r="OFF12" s="101"/>
      <c r="OFG12" s="101"/>
      <c r="OFH12" s="101"/>
      <c r="OFI12" s="101"/>
      <c r="OFJ12" s="101"/>
      <c r="OFK12" s="101"/>
      <c r="OFL12" s="101"/>
      <c r="OFM12" s="101"/>
      <c r="OFN12" s="101"/>
      <c r="OFO12" s="101"/>
      <c r="OFP12" s="101"/>
      <c r="OFQ12" s="101"/>
      <c r="OFR12" s="101"/>
      <c r="OFS12" s="101"/>
      <c r="OFT12" s="101"/>
      <c r="OFU12" s="101"/>
      <c r="OFV12" s="101"/>
      <c r="OFW12" s="101"/>
      <c r="OFX12" s="101"/>
      <c r="OFY12" s="101"/>
      <c r="OFZ12" s="101"/>
      <c r="OGA12" s="101"/>
      <c r="OGB12" s="101"/>
      <c r="OGC12" s="101"/>
      <c r="OGD12" s="101"/>
      <c r="OGE12" s="101"/>
      <c r="OGF12" s="101"/>
      <c r="OGG12" s="101"/>
      <c r="OGH12" s="101"/>
      <c r="OGI12" s="101"/>
      <c r="OGJ12" s="101"/>
      <c r="OGK12" s="101"/>
      <c r="OGL12" s="101"/>
      <c r="OGM12" s="101"/>
      <c r="OGN12" s="101"/>
      <c r="OGO12" s="101"/>
      <c r="OGP12" s="101"/>
      <c r="OGQ12" s="101"/>
      <c r="OGR12" s="101"/>
      <c r="OGS12" s="101"/>
      <c r="OGT12" s="101"/>
      <c r="OGU12" s="101"/>
      <c r="OGV12" s="101"/>
      <c r="OGW12" s="101"/>
      <c r="OGX12" s="101"/>
      <c r="OGY12" s="101"/>
      <c r="OGZ12" s="101"/>
      <c r="OHA12" s="101"/>
      <c r="OHB12" s="101"/>
      <c r="OHC12" s="101"/>
      <c r="OHD12" s="101"/>
      <c r="OHE12" s="101"/>
      <c r="OHF12" s="101"/>
      <c r="OHG12" s="101"/>
      <c r="OHH12" s="101"/>
      <c r="OHI12" s="101"/>
      <c r="OHJ12" s="101"/>
      <c r="OHK12" s="101"/>
      <c r="OHL12" s="101"/>
      <c r="OHM12" s="101"/>
      <c r="OHN12" s="101"/>
      <c r="OHO12" s="101"/>
      <c r="OHP12" s="101"/>
      <c r="OHQ12" s="101"/>
      <c r="OHR12" s="101"/>
      <c r="OHS12" s="101"/>
      <c r="OHT12" s="101"/>
      <c r="OHU12" s="101"/>
      <c r="OHV12" s="101"/>
      <c r="OHW12" s="101"/>
      <c r="OHX12" s="101"/>
      <c r="OHY12" s="101"/>
      <c r="OHZ12" s="101"/>
      <c r="OIA12" s="101"/>
      <c r="OIB12" s="101"/>
      <c r="OIC12" s="101"/>
      <c r="OID12" s="101"/>
      <c r="OIE12" s="101"/>
      <c r="OIF12" s="101"/>
      <c r="OIG12" s="101"/>
      <c r="OIH12" s="101"/>
      <c r="OII12" s="101"/>
      <c r="OIJ12" s="101"/>
      <c r="OIK12" s="101"/>
      <c r="OIL12" s="101"/>
      <c r="OIM12" s="101"/>
      <c r="OIN12" s="101"/>
      <c r="OIO12" s="101"/>
      <c r="OIP12" s="101"/>
      <c r="OIQ12" s="101"/>
      <c r="OIR12" s="101"/>
      <c r="OIS12" s="101"/>
      <c r="OIT12" s="101"/>
      <c r="OIU12" s="101"/>
      <c r="OIV12" s="101"/>
      <c r="OIW12" s="101"/>
      <c r="OIX12" s="101"/>
      <c r="OIY12" s="101"/>
      <c r="OIZ12" s="101"/>
      <c r="OJA12" s="101"/>
      <c r="OJB12" s="101"/>
      <c r="OJC12" s="101"/>
      <c r="OJD12" s="101"/>
      <c r="OJE12" s="101"/>
      <c r="OJF12" s="101"/>
      <c r="OJG12" s="101"/>
      <c r="OJH12" s="101"/>
      <c r="OJI12" s="101"/>
      <c r="OJJ12" s="101"/>
      <c r="OJK12" s="101"/>
      <c r="OJL12" s="101"/>
      <c r="OJM12" s="101"/>
      <c r="OJN12" s="101"/>
      <c r="OJO12" s="101"/>
      <c r="OJP12" s="101"/>
      <c r="OJQ12" s="101"/>
      <c r="OJR12" s="101"/>
      <c r="OJS12" s="101"/>
      <c r="OJT12" s="101"/>
      <c r="OJU12" s="101"/>
      <c r="OJV12" s="101"/>
      <c r="OJW12" s="101"/>
      <c r="OJX12" s="101"/>
      <c r="OJY12" s="101"/>
      <c r="OJZ12" s="101"/>
      <c r="OKA12" s="101"/>
      <c r="OKB12" s="101"/>
      <c r="OKC12" s="101"/>
      <c r="OKD12" s="101"/>
      <c r="OKE12" s="101"/>
      <c r="OKF12" s="101"/>
      <c r="OKG12" s="101"/>
      <c r="OKH12" s="101"/>
      <c r="OKI12" s="101"/>
      <c r="OKJ12" s="101"/>
      <c r="OKK12" s="101"/>
      <c r="OKL12" s="101"/>
      <c r="OKM12" s="101"/>
      <c r="OKN12" s="101"/>
      <c r="OKO12" s="101"/>
      <c r="OKP12" s="101"/>
      <c r="OKQ12" s="101"/>
      <c r="OKR12" s="101"/>
      <c r="OKS12" s="101"/>
      <c r="OKT12" s="101"/>
      <c r="OKU12" s="101"/>
      <c r="OKV12" s="101"/>
      <c r="OKW12" s="101"/>
      <c r="OKX12" s="101"/>
      <c r="OKY12" s="101"/>
      <c r="OKZ12" s="101"/>
      <c r="OLA12" s="101"/>
      <c r="OLB12" s="101"/>
      <c r="OLC12" s="101"/>
      <c r="OLD12" s="101"/>
      <c r="OLE12" s="101"/>
      <c r="OLF12" s="101"/>
      <c r="OLG12" s="101"/>
      <c r="OLH12" s="101"/>
      <c r="OLI12" s="101"/>
      <c r="OLJ12" s="101"/>
      <c r="OLK12" s="101"/>
      <c r="OLL12" s="101"/>
      <c r="OLM12" s="101"/>
      <c r="OLN12" s="101"/>
      <c r="OLO12" s="101"/>
      <c r="OLP12" s="101"/>
      <c r="OLQ12" s="101"/>
      <c r="OLR12" s="101"/>
      <c r="OLS12" s="101"/>
      <c r="OLT12" s="101"/>
      <c r="OLU12" s="101"/>
      <c r="OLV12" s="101"/>
      <c r="OLW12" s="101"/>
      <c r="OLX12" s="101"/>
      <c r="OLY12" s="101"/>
      <c r="OLZ12" s="101"/>
      <c r="OMA12" s="101"/>
      <c r="OMB12" s="101"/>
      <c r="OMC12" s="101"/>
      <c r="OMD12" s="101"/>
      <c r="OME12" s="101"/>
      <c r="OMF12" s="101"/>
      <c r="OMG12" s="101"/>
      <c r="OMH12" s="101"/>
      <c r="OMI12" s="101"/>
      <c r="OMJ12" s="101"/>
      <c r="OMK12" s="101"/>
      <c r="OML12" s="101"/>
      <c r="OMM12" s="101"/>
      <c r="OMN12" s="101"/>
      <c r="OMO12" s="101"/>
      <c r="OMP12" s="101"/>
      <c r="OMQ12" s="101"/>
      <c r="OMR12" s="101"/>
      <c r="OMS12" s="101"/>
      <c r="OMT12" s="101"/>
      <c r="OMU12" s="101"/>
      <c r="OMV12" s="101"/>
      <c r="OMW12" s="101"/>
      <c r="OMX12" s="101"/>
      <c r="OMY12" s="101"/>
      <c r="OMZ12" s="101"/>
      <c r="ONA12" s="101"/>
      <c r="ONB12" s="101"/>
      <c r="ONC12" s="101"/>
      <c r="OND12" s="101"/>
      <c r="ONE12" s="101"/>
      <c r="ONF12" s="101"/>
      <c r="ONG12" s="101"/>
      <c r="ONH12" s="101"/>
      <c r="ONI12" s="101"/>
      <c r="ONJ12" s="101"/>
      <c r="ONK12" s="101"/>
      <c r="ONL12" s="101"/>
      <c r="ONM12" s="101"/>
      <c r="ONN12" s="101"/>
      <c r="ONO12" s="101"/>
      <c r="ONP12" s="101"/>
      <c r="ONQ12" s="101"/>
      <c r="ONR12" s="101"/>
      <c r="ONS12" s="101"/>
      <c r="ONT12" s="101"/>
      <c r="ONU12" s="101"/>
      <c r="ONV12" s="101"/>
      <c r="ONW12" s="101"/>
      <c r="ONX12" s="101"/>
      <c r="ONY12" s="101"/>
      <c r="ONZ12" s="101"/>
      <c r="OOA12" s="101"/>
      <c r="OOB12" s="101"/>
      <c r="OOC12" s="101"/>
      <c r="OOD12" s="101"/>
      <c r="OOE12" s="101"/>
      <c r="OOF12" s="101"/>
      <c r="OOG12" s="101"/>
      <c r="OOH12" s="101"/>
      <c r="OOI12" s="101"/>
      <c r="OOJ12" s="101"/>
      <c r="OOK12" s="101"/>
      <c r="OOL12" s="101"/>
      <c r="OOM12" s="101"/>
      <c r="OON12" s="101"/>
      <c r="OOO12" s="101"/>
      <c r="OOP12" s="101"/>
      <c r="OOQ12" s="101"/>
      <c r="OOR12" s="101"/>
      <c r="OOS12" s="101"/>
      <c r="OOT12" s="101"/>
      <c r="OOU12" s="101"/>
      <c r="OOV12" s="101"/>
      <c r="OOW12" s="101"/>
      <c r="OOX12" s="101"/>
      <c r="OOY12" s="101"/>
      <c r="OOZ12" s="101"/>
      <c r="OPA12" s="101"/>
      <c r="OPB12" s="101"/>
      <c r="OPC12" s="101"/>
      <c r="OPD12" s="101"/>
      <c r="OPE12" s="101"/>
      <c r="OPF12" s="101"/>
      <c r="OPG12" s="101"/>
      <c r="OPH12" s="101"/>
      <c r="OPI12" s="101"/>
      <c r="OPJ12" s="101"/>
      <c r="OPK12" s="101"/>
      <c r="OPL12" s="101"/>
      <c r="OPM12" s="101"/>
      <c r="OPN12" s="101"/>
      <c r="OPO12" s="101"/>
      <c r="OPP12" s="101"/>
      <c r="OPQ12" s="101"/>
      <c r="OPR12" s="101"/>
      <c r="OPS12" s="101"/>
      <c r="OPT12" s="101"/>
      <c r="OPU12" s="101"/>
      <c r="OPV12" s="101"/>
      <c r="OPW12" s="101"/>
      <c r="OPX12" s="101"/>
      <c r="OPY12" s="101"/>
      <c r="OPZ12" s="101"/>
      <c r="OQA12" s="101"/>
      <c r="OQB12" s="101"/>
      <c r="OQC12" s="101"/>
      <c r="OQD12" s="101"/>
      <c r="OQE12" s="101"/>
      <c r="OQF12" s="101"/>
      <c r="OQG12" s="101"/>
      <c r="OQH12" s="101"/>
      <c r="OQI12" s="101"/>
      <c r="OQJ12" s="101"/>
      <c r="OQK12" s="101"/>
      <c r="OQL12" s="101"/>
      <c r="OQM12" s="101"/>
      <c r="OQN12" s="101"/>
      <c r="OQO12" s="101"/>
      <c r="OQP12" s="101"/>
      <c r="OQQ12" s="101"/>
      <c r="OQR12" s="101"/>
      <c r="OQS12" s="101"/>
      <c r="OQT12" s="101"/>
      <c r="OQU12" s="101"/>
      <c r="OQV12" s="101"/>
      <c r="OQW12" s="101"/>
      <c r="OQX12" s="101"/>
      <c r="OQY12" s="101"/>
      <c r="OQZ12" s="101"/>
      <c r="ORA12" s="101"/>
      <c r="ORB12" s="101"/>
      <c r="ORC12" s="101"/>
      <c r="ORD12" s="101"/>
      <c r="ORE12" s="101"/>
      <c r="ORF12" s="101"/>
      <c r="ORG12" s="101"/>
      <c r="ORH12" s="101"/>
      <c r="ORI12" s="101"/>
      <c r="ORJ12" s="101"/>
      <c r="ORK12" s="101"/>
      <c r="ORL12" s="101"/>
      <c r="ORM12" s="101"/>
      <c r="ORN12" s="101"/>
      <c r="ORO12" s="101"/>
      <c r="ORP12" s="101"/>
      <c r="ORQ12" s="101"/>
      <c r="ORR12" s="101"/>
      <c r="ORS12" s="101"/>
      <c r="ORT12" s="101"/>
      <c r="ORU12" s="101"/>
      <c r="ORV12" s="101"/>
      <c r="ORW12" s="101"/>
      <c r="ORX12" s="101"/>
      <c r="ORY12" s="101"/>
      <c r="ORZ12" s="101"/>
      <c r="OSA12" s="101"/>
      <c r="OSB12" s="101"/>
      <c r="OSC12" s="101"/>
      <c r="OSD12" s="101"/>
      <c r="OSE12" s="101"/>
      <c r="OSF12" s="101"/>
      <c r="OSG12" s="101"/>
      <c r="OSH12" s="101"/>
      <c r="OSI12" s="101"/>
      <c r="OSJ12" s="101"/>
      <c r="OSK12" s="101"/>
      <c r="OSL12" s="101"/>
      <c r="OSM12" s="101"/>
      <c r="OSN12" s="101"/>
      <c r="OSO12" s="101"/>
      <c r="OSP12" s="101"/>
      <c r="OSQ12" s="101"/>
      <c r="OSR12" s="101"/>
      <c r="OSS12" s="101"/>
      <c r="OST12" s="101"/>
      <c r="OSU12" s="101"/>
      <c r="OSV12" s="101"/>
      <c r="OSW12" s="101"/>
      <c r="OSX12" s="101"/>
      <c r="OSY12" s="101"/>
      <c r="OSZ12" s="101"/>
      <c r="OTA12" s="101"/>
      <c r="OTB12" s="101"/>
      <c r="OTC12" s="101"/>
      <c r="OTD12" s="101"/>
      <c r="OTE12" s="101"/>
      <c r="OTF12" s="101"/>
      <c r="OTG12" s="101"/>
      <c r="OTH12" s="101"/>
      <c r="OTI12" s="101"/>
      <c r="OTJ12" s="101"/>
      <c r="OTK12" s="101"/>
      <c r="OTL12" s="101"/>
      <c r="OTM12" s="101"/>
      <c r="OTN12" s="101"/>
      <c r="OTO12" s="101"/>
      <c r="OTP12" s="101"/>
      <c r="OTQ12" s="101"/>
      <c r="OTR12" s="101"/>
      <c r="OTS12" s="101"/>
      <c r="OTT12" s="101"/>
      <c r="OTU12" s="101"/>
      <c r="OTV12" s="101"/>
      <c r="OTW12" s="101"/>
      <c r="OTX12" s="101"/>
      <c r="OTY12" s="101"/>
      <c r="OTZ12" s="101"/>
      <c r="OUA12" s="101"/>
      <c r="OUB12" s="101"/>
      <c r="OUC12" s="101"/>
      <c r="OUD12" s="101"/>
      <c r="OUE12" s="101"/>
      <c r="OUF12" s="101"/>
      <c r="OUG12" s="101"/>
      <c r="OUH12" s="101"/>
      <c r="OUI12" s="101"/>
      <c r="OUJ12" s="101"/>
      <c r="OUK12" s="101"/>
      <c r="OUL12" s="101"/>
      <c r="OUM12" s="101"/>
      <c r="OUN12" s="101"/>
      <c r="OUO12" s="101"/>
      <c r="OUP12" s="101"/>
      <c r="OUQ12" s="101"/>
      <c r="OUR12" s="101"/>
      <c r="OUS12" s="101"/>
      <c r="OUT12" s="101"/>
      <c r="OUU12" s="101"/>
      <c r="OUV12" s="101"/>
      <c r="OUW12" s="101"/>
      <c r="OUX12" s="101"/>
      <c r="OUY12" s="101"/>
      <c r="OUZ12" s="101"/>
      <c r="OVA12" s="101"/>
      <c r="OVB12" s="101"/>
      <c r="OVC12" s="101"/>
      <c r="OVD12" s="101"/>
      <c r="OVE12" s="101"/>
      <c r="OVF12" s="101"/>
      <c r="OVG12" s="101"/>
      <c r="OVH12" s="101"/>
      <c r="OVI12" s="101"/>
      <c r="OVJ12" s="101"/>
      <c r="OVK12" s="101"/>
      <c r="OVL12" s="101"/>
      <c r="OVM12" s="101"/>
      <c r="OVN12" s="101"/>
      <c r="OVO12" s="101"/>
      <c r="OVP12" s="101"/>
      <c r="OVQ12" s="101"/>
      <c r="OVR12" s="101"/>
      <c r="OVS12" s="101"/>
      <c r="OVT12" s="101"/>
      <c r="OVU12" s="101"/>
      <c r="OVV12" s="101"/>
      <c r="OVW12" s="101"/>
      <c r="OVX12" s="101"/>
      <c r="OVY12" s="101"/>
      <c r="OVZ12" s="101"/>
      <c r="OWA12" s="101"/>
      <c r="OWB12" s="101"/>
      <c r="OWC12" s="101"/>
      <c r="OWD12" s="101"/>
      <c r="OWE12" s="101"/>
      <c r="OWF12" s="101"/>
      <c r="OWG12" s="101"/>
      <c r="OWH12" s="101"/>
      <c r="OWI12" s="101"/>
      <c r="OWJ12" s="101"/>
      <c r="OWK12" s="101"/>
      <c r="OWL12" s="101"/>
      <c r="OWM12" s="101"/>
      <c r="OWN12" s="101"/>
      <c r="OWO12" s="101"/>
      <c r="OWP12" s="101"/>
      <c r="OWQ12" s="101"/>
      <c r="OWR12" s="101"/>
      <c r="OWS12" s="101"/>
      <c r="OWT12" s="101"/>
      <c r="OWU12" s="101"/>
      <c r="OWV12" s="101"/>
      <c r="OWW12" s="101"/>
      <c r="OWX12" s="101"/>
      <c r="OWY12" s="101"/>
      <c r="OWZ12" s="101"/>
      <c r="OXA12" s="101"/>
      <c r="OXB12" s="101"/>
      <c r="OXC12" s="101"/>
      <c r="OXD12" s="101"/>
      <c r="OXE12" s="101"/>
      <c r="OXF12" s="101"/>
      <c r="OXG12" s="101"/>
      <c r="OXH12" s="101"/>
      <c r="OXI12" s="101"/>
      <c r="OXJ12" s="101"/>
      <c r="OXK12" s="101"/>
      <c r="OXL12" s="101"/>
      <c r="OXM12" s="101"/>
      <c r="OXN12" s="101"/>
      <c r="OXO12" s="101"/>
      <c r="OXP12" s="101"/>
      <c r="OXQ12" s="101"/>
      <c r="OXR12" s="101"/>
      <c r="OXS12" s="101"/>
      <c r="OXT12" s="101"/>
      <c r="OXU12" s="101"/>
      <c r="OXV12" s="101"/>
      <c r="OXW12" s="101"/>
      <c r="OXX12" s="101"/>
      <c r="OXY12" s="101"/>
      <c r="OXZ12" s="101"/>
      <c r="OYA12" s="101"/>
      <c r="OYB12" s="101"/>
      <c r="OYC12" s="101"/>
      <c r="OYD12" s="101"/>
      <c r="OYE12" s="101"/>
      <c r="OYF12" s="101"/>
      <c r="OYG12" s="101"/>
      <c r="OYH12" s="101"/>
      <c r="OYI12" s="101"/>
      <c r="OYJ12" s="101"/>
      <c r="OYK12" s="101"/>
      <c r="OYL12" s="101"/>
      <c r="OYM12" s="101"/>
      <c r="OYN12" s="101"/>
      <c r="OYO12" s="101"/>
      <c r="OYP12" s="101"/>
      <c r="OYQ12" s="101"/>
      <c r="OYR12" s="101"/>
      <c r="OYS12" s="101"/>
      <c r="OYT12" s="101"/>
      <c r="OYU12" s="101"/>
      <c r="OYV12" s="101"/>
      <c r="OYW12" s="101"/>
      <c r="OYX12" s="101"/>
      <c r="OYY12" s="101"/>
      <c r="OYZ12" s="101"/>
      <c r="OZA12" s="101"/>
      <c r="OZB12" s="101"/>
      <c r="OZC12" s="101"/>
      <c r="OZD12" s="101"/>
      <c r="OZE12" s="101"/>
      <c r="OZF12" s="101"/>
      <c r="OZG12" s="101"/>
      <c r="OZH12" s="101"/>
      <c r="OZI12" s="101"/>
      <c r="OZJ12" s="101"/>
      <c r="OZK12" s="101"/>
      <c r="OZL12" s="101"/>
      <c r="OZM12" s="101"/>
      <c r="OZN12" s="101"/>
      <c r="OZO12" s="101"/>
      <c r="OZP12" s="101"/>
      <c r="OZQ12" s="101"/>
      <c r="OZR12" s="101"/>
      <c r="OZS12" s="101"/>
      <c r="OZT12" s="101"/>
      <c r="OZU12" s="101"/>
      <c r="OZV12" s="101"/>
      <c r="OZW12" s="101"/>
      <c r="OZX12" s="101"/>
      <c r="OZY12" s="101"/>
      <c r="OZZ12" s="101"/>
      <c r="PAA12" s="101"/>
      <c r="PAB12" s="101"/>
      <c r="PAC12" s="101"/>
      <c r="PAD12" s="101"/>
      <c r="PAE12" s="101"/>
      <c r="PAF12" s="101"/>
      <c r="PAG12" s="101"/>
      <c r="PAH12" s="101"/>
      <c r="PAI12" s="101"/>
      <c r="PAJ12" s="101"/>
      <c r="PAK12" s="101"/>
      <c r="PAL12" s="101"/>
      <c r="PAM12" s="101"/>
      <c r="PAN12" s="101"/>
      <c r="PAO12" s="101"/>
      <c r="PAP12" s="101"/>
      <c r="PAQ12" s="101"/>
      <c r="PAR12" s="101"/>
      <c r="PAS12" s="101"/>
      <c r="PAT12" s="101"/>
      <c r="PAU12" s="101"/>
      <c r="PAV12" s="101"/>
      <c r="PAW12" s="101"/>
      <c r="PAX12" s="101"/>
      <c r="PAY12" s="101"/>
      <c r="PAZ12" s="101"/>
      <c r="PBA12" s="101"/>
      <c r="PBB12" s="101"/>
      <c r="PBC12" s="101"/>
      <c r="PBD12" s="101"/>
      <c r="PBE12" s="101"/>
      <c r="PBF12" s="101"/>
      <c r="PBG12" s="101"/>
      <c r="PBH12" s="101"/>
      <c r="PBI12" s="101"/>
      <c r="PBJ12" s="101"/>
      <c r="PBK12" s="101"/>
      <c r="PBL12" s="101"/>
      <c r="PBM12" s="101"/>
      <c r="PBN12" s="101"/>
      <c r="PBO12" s="101"/>
      <c r="PBP12" s="101"/>
      <c r="PBQ12" s="101"/>
      <c r="PBR12" s="101"/>
      <c r="PBS12" s="101"/>
      <c r="PBT12" s="101"/>
      <c r="PBU12" s="101"/>
      <c r="PBV12" s="101"/>
      <c r="PBW12" s="101"/>
      <c r="PBX12" s="101"/>
      <c r="PBY12" s="101"/>
      <c r="PBZ12" s="101"/>
      <c r="PCA12" s="101"/>
      <c r="PCB12" s="101"/>
      <c r="PCC12" s="101"/>
      <c r="PCD12" s="101"/>
      <c r="PCE12" s="101"/>
      <c r="PCF12" s="101"/>
      <c r="PCG12" s="101"/>
      <c r="PCH12" s="101"/>
      <c r="PCI12" s="101"/>
      <c r="PCJ12" s="101"/>
      <c r="PCK12" s="101"/>
      <c r="PCL12" s="101"/>
      <c r="PCM12" s="101"/>
      <c r="PCN12" s="101"/>
      <c r="PCO12" s="101"/>
      <c r="PCP12" s="101"/>
      <c r="PCQ12" s="101"/>
      <c r="PCR12" s="101"/>
      <c r="PCS12" s="101"/>
      <c r="PCT12" s="101"/>
      <c r="PCU12" s="101"/>
      <c r="PCV12" s="101"/>
      <c r="PCW12" s="101"/>
      <c r="PCX12" s="101"/>
      <c r="PCY12" s="101"/>
      <c r="PCZ12" s="101"/>
      <c r="PDA12" s="101"/>
      <c r="PDB12" s="101"/>
      <c r="PDC12" s="101"/>
      <c r="PDD12" s="101"/>
      <c r="PDE12" s="101"/>
      <c r="PDF12" s="101"/>
      <c r="PDG12" s="101"/>
      <c r="PDH12" s="101"/>
      <c r="PDI12" s="101"/>
      <c r="PDJ12" s="101"/>
      <c r="PDK12" s="101"/>
      <c r="PDL12" s="101"/>
      <c r="PDM12" s="101"/>
      <c r="PDN12" s="101"/>
      <c r="PDO12" s="101"/>
      <c r="PDP12" s="101"/>
      <c r="PDQ12" s="101"/>
      <c r="PDR12" s="101"/>
      <c r="PDS12" s="101"/>
      <c r="PDT12" s="101"/>
      <c r="PDU12" s="101"/>
      <c r="PDV12" s="101"/>
      <c r="PDW12" s="101"/>
      <c r="PDX12" s="101"/>
      <c r="PDY12" s="101"/>
      <c r="PDZ12" s="101"/>
      <c r="PEA12" s="101"/>
      <c r="PEB12" s="101"/>
      <c r="PEC12" s="101"/>
      <c r="PED12" s="101"/>
      <c r="PEE12" s="101"/>
      <c r="PEF12" s="101"/>
      <c r="PEG12" s="101"/>
      <c r="PEH12" s="101"/>
      <c r="PEI12" s="101"/>
      <c r="PEJ12" s="101"/>
      <c r="PEK12" s="101"/>
      <c r="PEL12" s="101"/>
      <c r="PEM12" s="101"/>
      <c r="PEN12" s="101"/>
      <c r="PEO12" s="101"/>
      <c r="PEP12" s="101"/>
      <c r="PEQ12" s="101"/>
      <c r="PER12" s="101"/>
      <c r="PES12" s="101"/>
      <c r="PET12" s="101"/>
      <c r="PEU12" s="101"/>
      <c r="PEV12" s="101"/>
      <c r="PEW12" s="101"/>
      <c r="PEX12" s="101"/>
      <c r="PEY12" s="101"/>
      <c r="PEZ12" s="101"/>
      <c r="PFA12" s="101"/>
      <c r="PFB12" s="101"/>
      <c r="PFC12" s="101"/>
      <c r="PFD12" s="101"/>
      <c r="PFE12" s="101"/>
      <c r="PFF12" s="101"/>
      <c r="PFG12" s="101"/>
      <c r="PFH12" s="101"/>
      <c r="PFI12" s="101"/>
      <c r="PFJ12" s="101"/>
      <c r="PFK12" s="101"/>
      <c r="PFL12" s="101"/>
      <c r="PFM12" s="101"/>
      <c r="PFN12" s="101"/>
      <c r="PFO12" s="101"/>
      <c r="PFP12" s="101"/>
      <c r="PFQ12" s="101"/>
      <c r="PFR12" s="101"/>
      <c r="PFS12" s="101"/>
      <c r="PFT12" s="101"/>
      <c r="PFU12" s="101"/>
      <c r="PFV12" s="101"/>
      <c r="PFW12" s="101"/>
      <c r="PFX12" s="101"/>
      <c r="PFY12" s="101"/>
      <c r="PFZ12" s="101"/>
      <c r="PGA12" s="101"/>
      <c r="PGB12" s="101"/>
      <c r="PGC12" s="101"/>
      <c r="PGD12" s="101"/>
      <c r="PGE12" s="101"/>
      <c r="PGF12" s="101"/>
      <c r="PGG12" s="101"/>
      <c r="PGH12" s="101"/>
      <c r="PGI12" s="101"/>
      <c r="PGJ12" s="101"/>
      <c r="PGK12" s="101"/>
      <c r="PGL12" s="101"/>
      <c r="PGM12" s="101"/>
      <c r="PGN12" s="101"/>
      <c r="PGO12" s="101"/>
      <c r="PGP12" s="101"/>
      <c r="PGQ12" s="101"/>
      <c r="PGR12" s="101"/>
      <c r="PGS12" s="101"/>
      <c r="PGT12" s="101"/>
      <c r="PGU12" s="101"/>
      <c r="PGV12" s="101"/>
      <c r="PGW12" s="101"/>
      <c r="PGX12" s="101"/>
      <c r="PGY12" s="101"/>
      <c r="PGZ12" s="101"/>
      <c r="PHA12" s="101"/>
      <c r="PHB12" s="101"/>
      <c r="PHC12" s="101"/>
      <c r="PHD12" s="101"/>
      <c r="PHE12" s="101"/>
      <c r="PHF12" s="101"/>
      <c r="PHG12" s="101"/>
      <c r="PHH12" s="101"/>
      <c r="PHI12" s="101"/>
      <c r="PHJ12" s="101"/>
      <c r="PHK12" s="101"/>
      <c r="PHL12" s="101"/>
      <c r="PHM12" s="101"/>
      <c r="PHN12" s="101"/>
      <c r="PHO12" s="101"/>
      <c r="PHP12" s="101"/>
      <c r="PHQ12" s="101"/>
      <c r="PHR12" s="101"/>
      <c r="PHS12" s="101"/>
      <c r="PHT12" s="101"/>
      <c r="PHU12" s="101"/>
      <c r="PHV12" s="101"/>
      <c r="PHW12" s="101"/>
      <c r="PHX12" s="101"/>
      <c r="PHY12" s="101"/>
      <c r="PHZ12" s="101"/>
      <c r="PIA12" s="101"/>
      <c r="PIB12" s="101"/>
      <c r="PIC12" s="101"/>
      <c r="PID12" s="101"/>
      <c r="PIE12" s="101"/>
      <c r="PIF12" s="101"/>
      <c r="PIG12" s="101"/>
      <c r="PIH12" s="101"/>
      <c r="PII12" s="101"/>
      <c r="PIJ12" s="101"/>
      <c r="PIK12" s="101"/>
      <c r="PIL12" s="101"/>
      <c r="PIM12" s="101"/>
      <c r="PIN12" s="101"/>
      <c r="PIO12" s="101"/>
      <c r="PIP12" s="101"/>
      <c r="PIQ12" s="101"/>
      <c r="PIR12" s="101"/>
      <c r="PIS12" s="101"/>
      <c r="PIT12" s="101"/>
      <c r="PIU12" s="101"/>
      <c r="PIV12" s="101"/>
      <c r="PIW12" s="101"/>
      <c r="PIX12" s="101"/>
      <c r="PIY12" s="101"/>
      <c r="PIZ12" s="101"/>
      <c r="PJA12" s="101"/>
      <c r="PJB12" s="101"/>
      <c r="PJC12" s="101"/>
      <c r="PJD12" s="101"/>
      <c r="PJE12" s="101"/>
      <c r="PJF12" s="101"/>
      <c r="PJG12" s="101"/>
      <c r="PJH12" s="101"/>
      <c r="PJI12" s="101"/>
      <c r="PJJ12" s="101"/>
      <c r="PJK12" s="101"/>
      <c r="PJL12" s="101"/>
      <c r="PJM12" s="101"/>
      <c r="PJN12" s="101"/>
      <c r="PJO12" s="101"/>
      <c r="PJP12" s="101"/>
      <c r="PJQ12" s="101"/>
      <c r="PJR12" s="101"/>
      <c r="PJS12" s="101"/>
      <c r="PJT12" s="101"/>
      <c r="PJU12" s="101"/>
      <c r="PJV12" s="101"/>
      <c r="PJW12" s="101"/>
      <c r="PJX12" s="101"/>
      <c r="PJY12" s="101"/>
      <c r="PJZ12" s="101"/>
      <c r="PKA12" s="101"/>
      <c r="PKB12" s="101"/>
      <c r="PKC12" s="101"/>
      <c r="PKD12" s="101"/>
      <c r="PKE12" s="101"/>
      <c r="PKF12" s="101"/>
      <c r="PKG12" s="101"/>
      <c r="PKH12" s="101"/>
      <c r="PKI12" s="101"/>
      <c r="PKJ12" s="101"/>
      <c r="PKK12" s="101"/>
      <c r="PKL12" s="101"/>
      <c r="PKM12" s="101"/>
      <c r="PKN12" s="101"/>
      <c r="PKO12" s="101"/>
      <c r="PKP12" s="101"/>
      <c r="PKQ12" s="101"/>
      <c r="PKR12" s="101"/>
      <c r="PKS12" s="101"/>
      <c r="PKT12" s="101"/>
      <c r="PKU12" s="101"/>
      <c r="PKV12" s="101"/>
      <c r="PKW12" s="101"/>
      <c r="PKX12" s="101"/>
      <c r="PKY12" s="101"/>
      <c r="PKZ12" s="101"/>
      <c r="PLA12" s="101"/>
      <c r="PLB12" s="101"/>
      <c r="PLC12" s="101"/>
      <c r="PLD12" s="101"/>
      <c r="PLE12" s="101"/>
      <c r="PLF12" s="101"/>
      <c r="PLG12" s="101"/>
      <c r="PLH12" s="101"/>
      <c r="PLI12" s="101"/>
      <c r="PLJ12" s="101"/>
      <c r="PLK12" s="101"/>
      <c r="PLL12" s="101"/>
      <c r="PLM12" s="101"/>
      <c r="PLN12" s="101"/>
      <c r="PLO12" s="101"/>
      <c r="PLP12" s="101"/>
      <c r="PLQ12" s="101"/>
      <c r="PLR12" s="101"/>
      <c r="PLS12" s="101"/>
      <c r="PLT12" s="101"/>
      <c r="PLU12" s="101"/>
      <c r="PLV12" s="101"/>
      <c r="PLW12" s="101"/>
      <c r="PLX12" s="101"/>
      <c r="PLY12" s="101"/>
      <c r="PLZ12" s="101"/>
      <c r="PMA12" s="101"/>
      <c r="PMB12" s="101"/>
      <c r="PMC12" s="101"/>
      <c r="PMD12" s="101"/>
      <c r="PME12" s="101"/>
      <c r="PMF12" s="101"/>
      <c r="PMG12" s="101"/>
      <c r="PMH12" s="101"/>
      <c r="PMI12" s="101"/>
      <c r="PMJ12" s="101"/>
      <c r="PMK12" s="101"/>
      <c r="PML12" s="101"/>
      <c r="PMM12" s="101"/>
      <c r="PMN12" s="101"/>
      <c r="PMO12" s="101"/>
      <c r="PMP12" s="101"/>
      <c r="PMQ12" s="101"/>
      <c r="PMR12" s="101"/>
      <c r="PMS12" s="101"/>
      <c r="PMT12" s="101"/>
      <c r="PMU12" s="101"/>
      <c r="PMV12" s="101"/>
      <c r="PMW12" s="101"/>
      <c r="PMX12" s="101"/>
      <c r="PMY12" s="101"/>
      <c r="PMZ12" s="101"/>
      <c r="PNA12" s="101"/>
      <c r="PNB12" s="101"/>
      <c r="PNC12" s="101"/>
      <c r="PND12" s="101"/>
      <c r="PNE12" s="101"/>
      <c r="PNF12" s="101"/>
      <c r="PNG12" s="101"/>
      <c r="PNH12" s="101"/>
      <c r="PNI12" s="101"/>
      <c r="PNJ12" s="101"/>
      <c r="PNK12" s="101"/>
      <c r="PNL12" s="101"/>
      <c r="PNM12" s="101"/>
      <c r="PNN12" s="101"/>
      <c r="PNO12" s="101"/>
      <c r="PNP12" s="101"/>
      <c r="PNQ12" s="101"/>
      <c r="PNR12" s="101"/>
      <c r="PNS12" s="101"/>
      <c r="PNT12" s="101"/>
      <c r="PNU12" s="101"/>
      <c r="PNV12" s="101"/>
      <c r="PNW12" s="101"/>
      <c r="PNX12" s="101"/>
      <c r="PNY12" s="101"/>
      <c r="PNZ12" s="101"/>
      <c r="POA12" s="101"/>
      <c r="POB12" s="101"/>
      <c r="POC12" s="101"/>
      <c r="POD12" s="101"/>
      <c r="POE12" s="101"/>
      <c r="POF12" s="101"/>
      <c r="POG12" s="101"/>
      <c r="POH12" s="101"/>
      <c r="POI12" s="101"/>
      <c r="POJ12" s="101"/>
      <c r="POK12" s="101"/>
      <c r="POL12" s="101"/>
      <c r="POM12" s="101"/>
      <c r="PON12" s="101"/>
      <c r="POO12" s="101"/>
      <c r="POP12" s="101"/>
      <c r="POQ12" s="101"/>
      <c r="POR12" s="101"/>
      <c r="POS12" s="101"/>
      <c r="POT12" s="101"/>
      <c r="POU12" s="101"/>
      <c r="POV12" s="101"/>
      <c r="POW12" s="101"/>
      <c r="POX12" s="101"/>
      <c r="POY12" s="101"/>
      <c r="POZ12" s="101"/>
      <c r="PPA12" s="101"/>
      <c r="PPB12" s="101"/>
      <c r="PPC12" s="101"/>
      <c r="PPD12" s="101"/>
      <c r="PPE12" s="101"/>
      <c r="PPF12" s="101"/>
      <c r="PPG12" s="101"/>
      <c r="PPH12" s="101"/>
      <c r="PPI12" s="101"/>
      <c r="PPJ12" s="101"/>
      <c r="PPK12" s="101"/>
      <c r="PPL12" s="101"/>
      <c r="PPM12" s="101"/>
      <c r="PPN12" s="101"/>
      <c r="PPO12" s="101"/>
      <c r="PPP12" s="101"/>
      <c r="PPQ12" s="101"/>
      <c r="PPR12" s="101"/>
      <c r="PPS12" s="101"/>
      <c r="PPT12" s="101"/>
      <c r="PPU12" s="101"/>
      <c r="PPV12" s="101"/>
      <c r="PPW12" s="101"/>
      <c r="PPX12" s="101"/>
      <c r="PPY12" s="101"/>
      <c r="PPZ12" s="101"/>
      <c r="PQA12" s="101"/>
      <c r="PQB12" s="101"/>
      <c r="PQC12" s="101"/>
      <c r="PQD12" s="101"/>
      <c r="PQE12" s="101"/>
      <c r="PQF12" s="101"/>
      <c r="PQG12" s="101"/>
      <c r="PQH12" s="101"/>
      <c r="PQI12" s="101"/>
      <c r="PQJ12" s="101"/>
      <c r="PQK12" s="101"/>
      <c r="PQL12" s="101"/>
      <c r="PQM12" s="101"/>
      <c r="PQN12" s="101"/>
      <c r="PQO12" s="101"/>
      <c r="PQP12" s="101"/>
      <c r="PQQ12" s="101"/>
      <c r="PQR12" s="101"/>
      <c r="PQS12" s="101"/>
      <c r="PQT12" s="101"/>
      <c r="PQU12" s="101"/>
      <c r="PQV12" s="101"/>
      <c r="PQW12" s="101"/>
      <c r="PQX12" s="101"/>
      <c r="PQY12" s="101"/>
      <c r="PQZ12" s="101"/>
      <c r="PRA12" s="101"/>
      <c r="PRB12" s="101"/>
      <c r="PRC12" s="101"/>
      <c r="PRD12" s="101"/>
      <c r="PRE12" s="101"/>
      <c r="PRF12" s="101"/>
      <c r="PRG12" s="101"/>
      <c r="PRH12" s="101"/>
      <c r="PRI12" s="101"/>
      <c r="PRJ12" s="101"/>
      <c r="PRK12" s="101"/>
      <c r="PRL12" s="101"/>
      <c r="PRM12" s="101"/>
      <c r="PRN12" s="101"/>
      <c r="PRO12" s="101"/>
      <c r="PRP12" s="101"/>
      <c r="PRQ12" s="101"/>
      <c r="PRR12" s="101"/>
      <c r="PRS12" s="101"/>
      <c r="PRT12" s="101"/>
      <c r="PRU12" s="101"/>
      <c r="PRV12" s="101"/>
      <c r="PRW12" s="101"/>
      <c r="PRX12" s="101"/>
      <c r="PRY12" s="101"/>
      <c r="PRZ12" s="101"/>
      <c r="PSA12" s="101"/>
      <c r="PSB12" s="101"/>
      <c r="PSC12" s="101"/>
      <c r="PSD12" s="101"/>
      <c r="PSE12" s="101"/>
      <c r="PSF12" s="101"/>
      <c r="PSG12" s="101"/>
      <c r="PSH12" s="101"/>
      <c r="PSI12" s="101"/>
      <c r="PSJ12" s="101"/>
      <c r="PSK12" s="101"/>
      <c r="PSL12" s="101"/>
      <c r="PSM12" s="101"/>
      <c r="PSN12" s="101"/>
      <c r="PSO12" s="101"/>
      <c r="PSP12" s="101"/>
      <c r="PSQ12" s="101"/>
      <c r="PSR12" s="101"/>
      <c r="PSS12" s="101"/>
      <c r="PST12" s="101"/>
      <c r="PSU12" s="101"/>
      <c r="PSV12" s="101"/>
      <c r="PSW12" s="101"/>
      <c r="PSX12" s="101"/>
      <c r="PSY12" s="101"/>
      <c r="PSZ12" s="101"/>
      <c r="PTA12" s="101"/>
      <c r="PTB12" s="101"/>
      <c r="PTC12" s="101"/>
      <c r="PTD12" s="101"/>
      <c r="PTE12" s="101"/>
      <c r="PTF12" s="101"/>
      <c r="PTG12" s="101"/>
      <c r="PTH12" s="101"/>
      <c r="PTI12" s="101"/>
      <c r="PTJ12" s="101"/>
      <c r="PTK12" s="101"/>
      <c r="PTL12" s="101"/>
      <c r="PTM12" s="101"/>
      <c r="PTN12" s="101"/>
      <c r="PTO12" s="101"/>
      <c r="PTP12" s="101"/>
      <c r="PTQ12" s="101"/>
      <c r="PTR12" s="101"/>
      <c r="PTS12" s="101"/>
      <c r="PTT12" s="101"/>
      <c r="PTU12" s="101"/>
      <c r="PTV12" s="101"/>
      <c r="PTW12" s="101"/>
      <c r="PTX12" s="101"/>
      <c r="PTY12" s="101"/>
      <c r="PTZ12" s="101"/>
      <c r="PUA12" s="101"/>
      <c r="PUB12" s="101"/>
      <c r="PUC12" s="101"/>
      <c r="PUD12" s="101"/>
      <c r="PUE12" s="101"/>
      <c r="PUF12" s="101"/>
      <c r="PUG12" s="101"/>
      <c r="PUH12" s="101"/>
      <c r="PUI12" s="101"/>
      <c r="PUJ12" s="101"/>
      <c r="PUK12" s="101"/>
      <c r="PUL12" s="101"/>
      <c r="PUM12" s="101"/>
      <c r="PUN12" s="101"/>
      <c r="PUO12" s="101"/>
      <c r="PUP12" s="101"/>
      <c r="PUQ12" s="101"/>
      <c r="PUR12" s="101"/>
      <c r="PUS12" s="101"/>
      <c r="PUT12" s="101"/>
      <c r="PUU12" s="101"/>
      <c r="PUV12" s="101"/>
      <c r="PUW12" s="101"/>
      <c r="PUX12" s="101"/>
      <c r="PUY12" s="101"/>
      <c r="PUZ12" s="101"/>
      <c r="PVA12" s="101"/>
      <c r="PVB12" s="101"/>
      <c r="PVC12" s="101"/>
      <c r="PVD12" s="101"/>
      <c r="PVE12" s="101"/>
      <c r="PVF12" s="101"/>
      <c r="PVG12" s="101"/>
      <c r="PVH12" s="101"/>
      <c r="PVI12" s="101"/>
      <c r="PVJ12" s="101"/>
      <c r="PVK12" s="101"/>
      <c r="PVL12" s="101"/>
      <c r="PVM12" s="101"/>
      <c r="PVN12" s="101"/>
      <c r="PVO12" s="101"/>
      <c r="PVP12" s="101"/>
      <c r="PVQ12" s="101"/>
      <c r="PVR12" s="101"/>
      <c r="PVS12" s="101"/>
      <c r="PVT12" s="101"/>
      <c r="PVU12" s="101"/>
      <c r="PVV12" s="101"/>
      <c r="PVW12" s="101"/>
      <c r="PVX12" s="101"/>
      <c r="PVY12" s="101"/>
      <c r="PVZ12" s="101"/>
      <c r="PWA12" s="101"/>
      <c r="PWB12" s="101"/>
      <c r="PWC12" s="101"/>
      <c r="PWD12" s="101"/>
      <c r="PWE12" s="101"/>
      <c r="PWF12" s="101"/>
      <c r="PWG12" s="101"/>
      <c r="PWH12" s="101"/>
      <c r="PWI12" s="101"/>
      <c r="PWJ12" s="101"/>
      <c r="PWK12" s="101"/>
      <c r="PWL12" s="101"/>
      <c r="PWM12" s="101"/>
      <c r="PWN12" s="101"/>
      <c r="PWO12" s="101"/>
      <c r="PWP12" s="101"/>
      <c r="PWQ12" s="101"/>
      <c r="PWR12" s="101"/>
      <c r="PWS12" s="101"/>
      <c r="PWT12" s="101"/>
      <c r="PWU12" s="101"/>
      <c r="PWV12" s="101"/>
      <c r="PWW12" s="101"/>
      <c r="PWX12" s="101"/>
      <c r="PWY12" s="101"/>
      <c r="PWZ12" s="101"/>
      <c r="PXA12" s="101"/>
      <c r="PXB12" s="101"/>
      <c r="PXC12" s="101"/>
      <c r="PXD12" s="101"/>
      <c r="PXE12" s="101"/>
      <c r="PXF12" s="101"/>
      <c r="PXG12" s="101"/>
      <c r="PXH12" s="101"/>
      <c r="PXI12" s="101"/>
      <c r="PXJ12" s="101"/>
      <c r="PXK12" s="101"/>
      <c r="PXL12" s="101"/>
      <c r="PXM12" s="101"/>
      <c r="PXN12" s="101"/>
      <c r="PXO12" s="101"/>
      <c r="PXP12" s="101"/>
      <c r="PXQ12" s="101"/>
      <c r="PXR12" s="101"/>
      <c r="PXS12" s="101"/>
      <c r="PXT12" s="101"/>
      <c r="PXU12" s="101"/>
      <c r="PXV12" s="101"/>
      <c r="PXW12" s="101"/>
      <c r="PXX12" s="101"/>
      <c r="PXY12" s="101"/>
      <c r="PXZ12" s="101"/>
      <c r="PYA12" s="101"/>
      <c r="PYB12" s="101"/>
      <c r="PYC12" s="101"/>
      <c r="PYD12" s="101"/>
      <c r="PYE12" s="101"/>
      <c r="PYF12" s="101"/>
      <c r="PYG12" s="101"/>
      <c r="PYH12" s="101"/>
      <c r="PYI12" s="101"/>
      <c r="PYJ12" s="101"/>
      <c r="PYK12" s="101"/>
      <c r="PYL12" s="101"/>
      <c r="PYM12" s="101"/>
      <c r="PYN12" s="101"/>
      <c r="PYO12" s="101"/>
      <c r="PYP12" s="101"/>
      <c r="PYQ12" s="101"/>
      <c r="PYR12" s="101"/>
      <c r="PYS12" s="101"/>
      <c r="PYT12" s="101"/>
      <c r="PYU12" s="101"/>
      <c r="PYV12" s="101"/>
      <c r="PYW12" s="101"/>
      <c r="PYX12" s="101"/>
      <c r="PYY12" s="101"/>
      <c r="PYZ12" s="101"/>
      <c r="PZA12" s="101"/>
      <c r="PZB12" s="101"/>
      <c r="PZC12" s="101"/>
      <c r="PZD12" s="101"/>
      <c r="PZE12" s="101"/>
      <c r="PZF12" s="101"/>
      <c r="PZG12" s="101"/>
      <c r="PZH12" s="101"/>
      <c r="PZI12" s="101"/>
      <c r="PZJ12" s="101"/>
      <c r="PZK12" s="101"/>
      <c r="PZL12" s="101"/>
      <c r="PZM12" s="101"/>
      <c r="PZN12" s="101"/>
      <c r="PZO12" s="101"/>
      <c r="PZP12" s="101"/>
      <c r="PZQ12" s="101"/>
      <c r="PZR12" s="101"/>
      <c r="PZS12" s="101"/>
      <c r="PZT12" s="101"/>
      <c r="PZU12" s="101"/>
      <c r="PZV12" s="101"/>
      <c r="PZW12" s="101"/>
      <c r="PZX12" s="101"/>
      <c r="PZY12" s="101"/>
      <c r="PZZ12" s="101"/>
      <c r="QAA12" s="101"/>
      <c r="QAB12" s="101"/>
      <c r="QAC12" s="101"/>
      <c r="QAD12" s="101"/>
      <c r="QAE12" s="101"/>
      <c r="QAF12" s="101"/>
      <c r="QAG12" s="101"/>
      <c r="QAH12" s="101"/>
      <c r="QAI12" s="101"/>
      <c r="QAJ12" s="101"/>
      <c r="QAK12" s="101"/>
      <c r="QAL12" s="101"/>
      <c r="QAM12" s="101"/>
      <c r="QAN12" s="101"/>
      <c r="QAO12" s="101"/>
      <c r="QAP12" s="101"/>
      <c r="QAQ12" s="101"/>
      <c r="QAR12" s="101"/>
      <c r="QAS12" s="101"/>
      <c r="QAT12" s="101"/>
      <c r="QAU12" s="101"/>
      <c r="QAV12" s="101"/>
      <c r="QAW12" s="101"/>
      <c r="QAX12" s="101"/>
      <c r="QAY12" s="101"/>
      <c r="QAZ12" s="101"/>
      <c r="QBA12" s="101"/>
      <c r="QBB12" s="101"/>
      <c r="QBC12" s="101"/>
      <c r="QBD12" s="101"/>
      <c r="QBE12" s="101"/>
      <c r="QBF12" s="101"/>
      <c r="QBG12" s="101"/>
      <c r="QBH12" s="101"/>
      <c r="QBI12" s="101"/>
      <c r="QBJ12" s="101"/>
      <c r="QBK12" s="101"/>
      <c r="QBL12" s="101"/>
      <c r="QBM12" s="101"/>
      <c r="QBN12" s="101"/>
      <c r="QBO12" s="101"/>
      <c r="QBP12" s="101"/>
      <c r="QBQ12" s="101"/>
      <c r="QBR12" s="101"/>
      <c r="QBS12" s="101"/>
      <c r="QBT12" s="101"/>
      <c r="QBU12" s="101"/>
      <c r="QBV12" s="101"/>
      <c r="QBW12" s="101"/>
      <c r="QBX12" s="101"/>
      <c r="QBY12" s="101"/>
      <c r="QBZ12" s="101"/>
      <c r="QCA12" s="101"/>
      <c r="QCB12" s="101"/>
      <c r="QCC12" s="101"/>
      <c r="QCD12" s="101"/>
      <c r="QCE12" s="101"/>
      <c r="QCF12" s="101"/>
      <c r="QCG12" s="101"/>
      <c r="QCH12" s="101"/>
      <c r="QCI12" s="101"/>
      <c r="QCJ12" s="101"/>
      <c r="QCK12" s="101"/>
      <c r="QCL12" s="101"/>
      <c r="QCM12" s="101"/>
      <c r="QCN12" s="101"/>
      <c r="QCO12" s="101"/>
      <c r="QCP12" s="101"/>
      <c r="QCQ12" s="101"/>
      <c r="QCR12" s="101"/>
      <c r="QCS12" s="101"/>
      <c r="QCT12" s="101"/>
      <c r="QCU12" s="101"/>
      <c r="QCV12" s="101"/>
      <c r="QCW12" s="101"/>
      <c r="QCX12" s="101"/>
      <c r="QCY12" s="101"/>
      <c r="QCZ12" s="101"/>
      <c r="QDA12" s="101"/>
      <c r="QDB12" s="101"/>
      <c r="QDC12" s="101"/>
      <c r="QDD12" s="101"/>
      <c r="QDE12" s="101"/>
      <c r="QDF12" s="101"/>
      <c r="QDG12" s="101"/>
      <c r="QDH12" s="101"/>
      <c r="QDI12" s="101"/>
      <c r="QDJ12" s="101"/>
      <c r="QDK12" s="101"/>
      <c r="QDL12" s="101"/>
      <c r="QDM12" s="101"/>
      <c r="QDN12" s="101"/>
      <c r="QDO12" s="101"/>
      <c r="QDP12" s="101"/>
      <c r="QDQ12" s="101"/>
      <c r="QDR12" s="101"/>
      <c r="QDS12" s="101"/>
      <c r="QDT12" s="101"/>
      <c r="QDU12" s="101"/>
      <c r="QDV12" s="101"/>
      <c r="QDW12" s="101"/>
      <c r="QDX12" s="101"/>
      <c r="QDY12" s="101"/>
      <c r="QDZ12" s="101"/>
      <c r="QEA12" s="101"/>
      <c r="QEB12" s="101"/>
      <c r="QEC12" s="101"/>
      <c r="QED12" s="101"/>
      <c r="QEE12" s="101"/>
      <c r="QEF12" s="101"/>
      <c r="QEG12" s="101"/>
      <c r="QEH12" s="101"/>
      <c r="QEI12" s="101"/>
      <c r="QEJ12" s="101"/>
      <c r="QEK12" s="101"/>
      <c r="QEL12" s="101"/>
      <c r="QEM12" s="101"/>
      <c r="QEN12" s="101"/>
      <c r="QEO12" s="101"/>
      <c r="QEP12" s="101"/>
      <c r="QEQ12" s="101"/>
      <c r="QER12" s="101"/>
      <c r="QES12" s="101"/>
      <c r="QET12" s="101"/>
      <c r="QEU12" s="101"/>
      <c r="QEV12" s="101"/>
      <c r="QEW12" s="101"/>
      <c r="QEX12" s="101"/>
      <c r="QEY12" s="101"/>
      <c r="QEZ12" s="101"/>
      <c r="QFA12" s="101"/>
      <c r="QFB12" s="101"/>
      <c r="QFC12" s="101"/>
      <c r="QFD12" s="101"/>
      <c r="QFE12" s="101"/>
      <c r="QFF12" s="101"/>
      <c r="QFG12" s="101"/>
      <c r="QFH12" s="101"/>
      <c r="QFI12" s="101"/>
      <c r="QFJ12" s="101"/>
      <c r="QFK12" s="101"/>
      <c r="QFL12" s="101"/>
      <c r="QFM12" s="101"/>
      <c r="QFN12" s="101"/>
      <c r="QFO12" s="101"/>
      <c r="QFP12" s="101"/>
      <c r="QFQ12" s="101"/>
      <c r="QFR12" s="101"/>
      <c r="QFS12" s="101"/>
      <c r="QFT12" s="101"/>
      <c r="QFU12" s="101"/>
      <c r="QFV12" s="101"/>
      <c r="QFW12" s="101"/>
      <c r="QFX12" s="101"/>
      <c r="QFY12" s="101"/>
      <c r="QFZ12" s="101"/>
      <c r="QGA12" s="101"/>
      <c r="QGB12" s="101"/>
      <c r="QGC12" s="101"/>
      <c r="QGD12" s="101"/>
      <c r="QGE12" s="101"/>
      <c r="QGF12" s="101"/>
      <c r="QGG12" s="101"/>
      <c r="QGH12" s="101"/>
      <c r="QGI12" s="101"/>
      <c r="QGJ12" s="101"/>
      <c r="QGK12" s="101"/>
      <c r="QGL12" s="101"/>
      <c r="QGM12" s="101"/>
      <c r="QGN12" s="101"/>
      <c r="QGO12" s="101"/>
      <c r="QGP12" s="101"/>
      <c r="QGQ12" s="101"/>
      <c r="QGR12" s="101"/>
      <c r="QGS12" s="101"/>
      <c r="QGT12" s="101"/>
      <c r="QGU12" s="101"/>
      <c r="QGV12" s="101"/>
      <c r="QGW12" s="101"/>
      <c r="QGX12" s="101"/>
      <c r="QGY12" s="101"/>
      <c r="QGZ12" s="101"/>
      <c r="QHA12" s="101"/>
      <c r="QHB12" s="101"/>
      <c r="QHC12" s="101"/>
      <c r="QHD12" s="101"/>
      <c r="QHE12" s="101"/>
      <c r="QHF12" s="101"/>
      <c r="QHG12" s="101"/>
      <c r="QHH12" s="101"/>
      <c r="QHI12" s="101"/>
      <c r="QHJ12" s="101"/>
      <c r="QHK12" s="101"/>
      <c r="QHL12" s="101"/>
      <c r="QHM12" s="101"/>
      <c r="QHN12" s="101"/>
      <c r="QHO12" s="101"/>
      <c r="QHP12" s="101"/>
      <c r="QHQ12" s="101"/>
      <c r="QHR12" s="101"/>
      <c r="QHS12" s="101"/>
      <c r="QHT12" s="101"/>
      <c r="QHU12" s="101"/>
      <c r="QHV12" s="101"/>
      <c r="QHW12" s="101"/>
      <c r="QHX12" s="101"/>
      <c r="QHY12" s="101"/>
      <c r="QHZ12" s="101"/>
      <c r="QIA12" s="101"/>
      <c r="QIB12" s="101"/>
      <c r="QIC12" s="101"/>
      <c r="QID12" s="101"/>
      <c r="QIE12" s="101"/>
      <c r="QIF12" s="101"/>
      <c r="QIG12" s="101"/>
      <c r="QIH12" s="101"/>
      <c r="QII12" s="101"/>
      <c r="QIJ12" s="101"/>
      <c r="QIK12" s="101"/>
      <c r="QIL12" s="101"/>
      <c r="QIM12" s="101"/>
      <c r="QIN12" s="101"/>
      <c r="QIO12" s="101"/>
      <c r="QIP12" s="101"/>
      <c r="QIQ12" s="101"/>
      <c r="QIR12" s="101"/>
      <c r="QIS12" s="101"/>
      <c r="QIT12" s="101"/>
      <c r="QIU12" s="101"/>
      <c r="QIV12" s="101"/>
      <c r="QIW12" s="101"/>
      <c r="QIX12" s="101"/>
      <c r="QIY12" s="101"/>
      <c r="QIZ12" s="101"/>
      <c r="QJA12" s="101"/>
      <c r="QJB12" s="101"/>
      <c r="QJC12" s="101"/>
      <c r="QJD12" s="101"/>
      <c r="QJE12" s="101"/>
      <c r="QJF12" s="101"/>
      <c r="QJG12" s="101"/>
      <c r="QJH12" s="101"/>
      <c r="QJI12" s="101"/>
      <c r="QJJ12" s="101"/>
      <c r="QJK12" s="101"/>
      <c r="QJL12" s="101"/>
      <c r="QJM12" s="101"/>
      <c r="QJN12" s="101"/>
      <c r="QJO12" s="101"/>
      <c r="QJP12" s="101"/>
      <c r="QJQ12" s="101"/>
      <c r="QJR12" s="101"/>
      <c r="QJS12" s="101"/>
      <c r="QJT12" s="101"/>
      <c r="QJU12" s="101"/>
      <c r="QJV12" s="101"/>
      <c r="QJW12" s="101"/>
      <c r="QJX12" s="101"/>
      <c r="QJY12" s="101"/>
      <c r="QJZ12" s="101"/>
      <c r="QKA12" s="101"/>
      <c r="QKB12" s="101"/>
      <c r="QKC12" s="101"/>
      <c r="QKD12" s="101"/>
      <c r="QKE12" s="101"/>
      <c r="QKF12" s="101"/>
      <c r="QKG12" s="101"/>
      <c r="QKH12" s="101"/>
      <c r="QKI12" s="101"/>
      <c r="QKJ12" s="101"/>
      <c r="QKK12" s="101"/>
      <c r="QKL12" s="101"/>
      <c r="QKM12" s="101"/>
      <c r="QKN12" s="101"/>
      <c r="QKO12" s="101"/>
      <c r="QKP12" s="101"/>
      <c r="QKQ12" s="101"/>
      <c r="QKR12" s="101"/>
      <c r="QKS12" s="101"/>
      <c r="QKT12" s="101"/>
      <c r="QKU12" s="101"/>
      <c r="QKV12" s="101"/>
      <c r="QKW12" s="101"/>
      <c r="QKX12" s="101"/>
      <c r="QKY12" s="101"/>
      <c r="QKZ12" s="101"/>
      <c r="QLA12" s="101"/>
      <c r="QLB12" s="101"/>
      <c r="QLC12" s="101"/>
      <c r="QLD12" s="101"/>
      <c r="QLE12" s="101"/>
      <c r="QLF12" s="101"/>
      <c r="QLG12" s="101"/>
      <c r="QLH12" s="101"/>
      <c r="QLI12" s="101"/>
      <c r="QLJ12" s="101"/>
      <c r="QLK12" s="101"/>
      <c r="QLL12" s="101"/>
      <c r="QLM12" s="101"/>
      <c r="QLN12" s="101"/>
      <c r="QLO12" s="101"/>
      <c r="QLP12" s="101"/>
      <c r="QLQ12" s="101"/>
      <c r="QLR12" s="101"/>
      <c r="QLS12" s="101"/>
      <c r="QLT12" s="101"/>
      <c r="QLU12" s="101"/>
      <c r="QLV12" s="101"/>
      <c r="QLW12" s="101"/>
      <c r="QLX12" s="101"/>
      <c r="QLY12" s="101"/>
      <c r="QLZ12" s="101"/>
      <c r="QMA12" s="101"/>
      <c r="QMB12" s="101"/>
      <c r="QMC12" s="101"/>
      <c r="QMD12" s="101"/>
      <c r="QME12" s="101"/>
      <c r="QMF12" s="101"/>
      <c r="QMG12" s="101"/>
      <c r="QMH12" s="101"/>
      <c r="QMI12" s="101"/>
      <c r="QMJ12" s="101"/>
      <c r="QMK12" s="101"/>
      <c r="QML12" s="101"/>
      <c r="QMM12" s="101"/>
      <c r="QMN12" s="101"/>
      <c r="QMO12" s="101"/>
      <c r="QMP12" s="101"/>
      <c r="QMQ12" s="101"/>
      <c r="QMR12" s="101"/>
      <c r="QMS12" s="101"/>
      <c r="QMT12" s="101"/>
      <c r="QMU12" s="101"/>
      <c r="QMV12" s="101"/>
      <c r="QMW12" s="101"/>
      <c r="QMX12" s="101"/>
      <c r="QMY12" s="101"/>
      <c r="QMZ12" s="101"/>
      <c r="QNA12" s="101"/>
      <c r="QNB12" s="101"/>
      <c r="QNC12" s="101"/>
      <c r="QND12" s="101"/>
      <c r="QNE12" s="101"/>
      <c r="QNF12" s="101"/>
      <c r="QNG12" s="101"/>
      <c r="QNH12" s="101"/>
      <c r="QNI12" s="101"/>
      <c r="QNJ12" s="101"/>
      <c r="QNK12" s="101"/>
      <c r="QNL12" s="101"/>
      <c r="QNM12" s="101"/>
      <c r="QNN12" s="101"/>
      <c r="QNO12" s="101"/>
      <c r="QNP12" s="101"/>
      <c r="QNQ12" s="101"/>
      <c r="QNR12" s="101"/>
      <c r="QNS12" s="101"/>
      <c r="QNT12" s="101"/>
      <c r="QNU12" s="101"/>
      <c r="QNV12" s="101"/>
      <c r="QNW12" s="101"/>
      <c r="QNX12" s="101"/>
      <c r="QNY12" s="101"/>
      <c r="QNZ12" s="101"/>
      <c r="QOA12" s="101"/>
      <c r="QOB12" s="101"/>
      <c r="QOC12" s="101"/>
      <c r="QOD12" s="101"/>
      <c r="QOE12" s="101"/>
      <c r="QOF12" s="101"/>
      <c r="QOG12" s="101"/>
      <c r="QOH12" s="101"/>
      <c r="QOI12" s="101"/>
      <c r="QOJ12" s="101"/>
      <c r="QOK12" s="101"/>
      <c r="QOL12" s="101"/>
      <c r="QOM12" s="101"/>
      <c r="QON12" s="101"/>
      <c r="QOO12" s="101"/>
      <c r="QOP12" s="101"/>
      <c r="QOQ12" s="101"/>
      <c r="QOR12" s="101"/>
      <c r="QOS12" s="101"/>
      <c r="QOT12" s="101"/>
      <c r="QOU12" s="101"/>
      <c r="QOV12" s="101"/>
      <c r="QOW12" s="101"/>
      <c r="QOX12" s="101"/>
      <c r="QOY12" s="101"/>
      <c r="QOZ12" s="101"/>
      <c r="QPA12" s="101"/>
      <c r="QPB12" s="101"/>
      <c r="QPC12" s="101"/>
      <c r="QPD12" s="101"/>
      <c r="QPE12" s="101"/>
      <c r="QPF12" s="101"/>
      <c r="QPG12" s="101"/>
      <c r="QPH12" s="101"/>
      <c r="QPI12" s="101"/>
      <c r="QPJ12" s="101"/>
      <c r="QPK12" s="101"/>
      <c r="QPL12" s="101"/>
      <c r="QPM12" s="101"/>
      <c r="QPN12" s="101"/>
      <c r="QPO12" s="101"/>
      <c r="QPP12" s="101"/>
      <c r="QPQ12" s="101"/>
      <c r="QPR12" s="101"/>
      <c r="QPS12" s="101"/>
      <c r="QPT12" s="101"/>
      <c r="QPU12" s="101"/>
      <c r="QPV12" s="101"/>
      <c r="QPW12" s="101"/>
      <c r="QPX12" s="101"/>
      <c r="QPY12" s="101"/>
      <c r="QPZ12" s="101"/>
      <c r="QQA12" s="101"/>
      <c r="QQB12" s="101"/>
      <c r="QQC12" s="101"/>
      <c r="QQD12" s="101"/>
      <c r="QQE12" s="101"/>
      <c r="QQF12" s="101"/>
      <c r="QQG12" s="101"/>
      <c r="QQH12" s="101"/>
      <c r="QQI12" s="101"/>
      <c r="QQJ12" s="101"/>
      <c r="QQK12" s="101"/>
      <c r="QQL12" s="101"/>
      <c r="QQM12" s="101"/>
      <c r="QQN12" s="101"/>
      <c r="QQO12" s="101"/>
      <c r="QQP12" s="101"/>
      <c r="QQQ12" s="101"/>
      <c r="QQR12" s="101"/>
      <c r="QQS12" s="101"/>
      <c r="QQT12" s="101"/>
      <c r="QQU12" s="101"/>
      <c r="QQV12" s="101"/>
      <c r="QQW12" s="101"/>
      <c r="QQX12" s="101"/>
      <c r="QQY12" s="101"/>
      <c r="QQZ12" s="101"/>
      <c r="QRA12" s="101"/>
      <c r="QRB12" s="101"/>
      <c r="QRC12" s="101"/>
      <c r="QRD12" s="101"/>
      <c r="QRE12" s="101"/>
      <c r="QRF12" s="101"/>
      <c r="QRG12" s="101"/>
      <c r="QRH12" s="101"/>
      <c r="QRI12" s="101"/>
      <c r="QRJ12" s="101"/>
      <c r="QRK12" s="101"/>
      <c r="QRL12" s="101"/>
      <c r="QRM12" s="101"/>
      <c r="QRN12" s="101"/>
      <c r="QRO12" s="101"/>
      <c r="QRP12" s="101"/>
      <c r="QRQ12" s="101"/>
      <c r="QRR12" s="101"/>
      <c r="QRS12" s="101"/>
      <c r="QRT12" s="101"/>
      <c r="QRU12" s="101"/>
      <c r="QRV12" s="101"/>
      <c r="QRW12" s="101"/>
      <c r="QRX12" s="101"/>
      <c r="QRY12" s="101"/>
      <c r="QRZ12" s="101"/>
      <c r="QSA12" s="101"/>
      <c r="QSB12" s="101"/>
      <c r="QSC12" s="101"/>
      <c r="QSD12" s="101"/>
      <c r="QSE12" s="101"/>
      <c r="QSF12" s="101"/>
      <c r="QSG12" s="101"/>
      <c r="QSH12" s="101"/>
      <c r="QSI12" s="101"/>
      <c r="QSJ12" s="101"/>
      <c r="QSK12" s="101"/>
      <c r="QSL12" s="101"/>
      <c r="QSM12" s="101"/>
      <c r="QSN12" s="101"/>
      <c r="QSO12" s="101"/>
      <c r="QSP12" s="101"/>
      <c r="QSQ12" s="101"/>
      <c r="QSR12" s="101"/>
      <c r="QSS12" s="101"/>
      <c r="QST12" s="101"/>
      <c r="QSU12" s="101"/>
      <c r="QSV12" s="101"/>
      <c r="QSW12" s="101"/>
      <c r="QSX12" s="101"/>
      <c r="QSY12" s="101"/>
      <c r="QSZ12" s="101"/>
      <c r="QTA12" s="101"/>
      <c r="QTB12" s="101"/>
      <c r="QTC12" s="101"/>
      <c r="QTD12" s="101"/>
      <c r="QTE12" s="101"/>
      <c r="QTF12" s="101"/>
      <c r="QTG12" s="101"/>
      <c r="QTH12" s="101"/>
      <c r="QTI12" s="101"/>
      <c r="QTJ12" s="101"/>
      <c r="QTK12" s="101"/>
      <c r="QTL12" s="101"/>
      <c r="QTM12" s="101"/>
      <c r="QTN12" s="101"/>
      <c r="QTO12" s="101"/>
      <c r="QTP12" s="101"/>
      <c r="QTQ12" s="101"/>
      <c r="QTR12" s="101"/>
      <c r="QTS12" s="101"/>
      <c r="QTT12" s="101"/>
      <c r="QTU12" s="101"/>
      <c r="QTV12" s="101"/>
      <c r="QTW12" s="101"/>
      <c r="QTX12" s="101"/>
      <c r="QTY12" s="101"/>
      <c r="QTZ12" s="101"/>
      <c r="QUA12" s="101"/>
      <c r="QUB12" s="101"/>
      <c r="QUC12" s="101"/>
      <c r="QUD12" s="101"/>
      <c r="QUE12" s="101"/>
      <c r="QUF12" s="101"/>
      <c r="QUG12" s="101"/>
      <c r="QUH12" s="101"/>
      <c r="QUI12" s="101"/>
      <c r="QUJ12" s="101"/>
      <c r="QUK12" s="101"/>
      <c r="QUL12" s="101"/>
      <c r="QUM12" s="101"/>
      <c r="QUN12" s="101"/>
      <c r="QUO12" s="101"/>
      <c r="QUP12" s="101"/>
      <c r="QUQ12" s="101"/>
      <c r="QUR12" s="101"/>
      <c r="QUS12" s="101"/>
      <c r="QUT12" s="101"/>
      <c r="QUU12" s="101"/>
      <c r="QUV12" s="101"/>
      <c r="QUW12" s="101"/>
      <c r="QUX12" s="101"/>
      <c r="QUY12" s="101"/>
      <c r="QUZ12" s="101"/>
      <c r="QVA12" s="101"/>
      <c r="QVB12" s="101"/>
      <c r="QVC12" s="101"/>
      <c r="QVD12" s="101"/>
      <c r="QVE12" s="101"/>
      <c r="QVF12" s="101"/>
      <c r="QVG12" s="101"/>
      <c r="QVH12" s="101"/>
      <c r="QVI12" s="101"/>
      <c r="QVJ12" s="101"/>
      <c r="QVK12" s="101"/>
      <c r="QVL12" s="101"/>
      <c r="QVM12" s="101"/>
      <c r="QVN12" s="101"/>
      <c r="QVO12" s="101"/>
      <c r="QVP12" s="101"/>
      <c r="QVQ12" s="101"/>
      <c r="QVR12" s="101"/>
      <c r="QVS12" s="101"/>
      <c r="QVT12" s="101"/>
      <c r="QVU12" s="101"/>
      <c r="QVV12" s="101"/>
      <c r="QVW12" s="101"/>
      <c r="QVX12" s="101"/>
      <c r="QVY12" s="101"/>
      <c r="QVZ12" s="101"/>
      <c r="QWA12" s="101"/>
      <c r="QWB12" s="101"/>
      <c r="QWC12" s="101"/>
      <c r="QWD12" s="101"/>
      <c r="QWE12" s="101"/>
      <c r="QWF12" s="101"/>
      <c r="QWG12" s="101"/>
      <c r="QWH12" s="101"/>
      <c r="QWI12" s="101"/>
      <c r="QWJ12" s="101"/>
      <c r="QWK12" s="101"/>
      <c r="QWL12" s="101"/>
      <c r="QWM12" s="101"/>
      <c r="QWN12" s="101"/>
      <c r="QWO12" s="101"/>
      <c r="QWP12" s="101"/>
      <c r="QWQ12" s="101"/>
      <c r="QWR12" s="101"/>
      <c r="QWS12" s="101"/>
      <c r="QWT12" s="101"/>
      <c r="QWU12" s="101"/>
      <c r="QWV12" s="101"/>
      <c r="QWW12" s="101"/>
      <c r="QWX12" s="101"/>
      <c r="QWY12" s="101"/>
      <c r="QWZ12" s="101"/>
      <c r="QXA12" s="101"/>
      <c r="QXB12" s="101"/>
      <c r="QXC12" s="101"/>
      <c r="QXD12" s="101"/>
      <c r="QXE12" s="101"/>
      <c r="QXF12" s="101"/>
      <c r="QXG12" s="101"/>
      <c r="QXH12" s="101"/>
      <c r="QXI12" s="101"/>
      <c r="QXJ12" s="101"/>
      <c r="QXK12" s="101"/>
      <c r="QXL12" s="101"/>
      <c r="QXM12" s="101"/>
      <c r="QXN12" s="101"/>
      <c r="QXO12" s="101"/>
      <c r="QXP12" s="101"/>
      <c r="QXQ12" s="101"/>
      <c r="QXR12" s="101"/>
      <c r="QXS12" s="101"/>
      <c r="QXT12" s="101"/>
      <c r="QXU12" s="101"/>
      <c r="QXV12" s="101"/>
      <c r="QXW12" s="101"/>
      <c r="QXX12" s="101"/>
      <c r="QXY12" s="101"/>
      <c r="QXZ12" s="101"/>
      <c r="QYA12" s="101"/>
      <c r="QYB12" s="101"/>
      <c r="QYC12" s="101"/>
      <c r="QYD12" s="101"/>
      <c r="QYE12" s="101"/>
      <c r="QYF12" s="101"/>
      <c r="QYG12" s="101"/>
      <c r="QYH12" s="101"/>
      <c r="QYI12" s="101"/>
      <c r="QYJ12" s="101"/>
      <c r="QYK12" s="101"/>
      <c r="QYL12" s="101"/>
      <c r="QYM12" s="101"/>
      <c r="QYN12" s="101"/>
      <c r="QYO12" s="101"/>
      <c r="QYP12" s="101"/>
      <c r="QYQ12" s="101"/>
      <c r="QYR12" s="101"/>
      <c r="QYS12" s="101"/>
      <c r="QYT12" s="101"/>
      <c r="QYU12" s="101"/>
      <c r="QYV12" s="101"/>
      <c r="QYW12" s="101"/>
      <c r="QYX12" s="101"/>
      <c r="QYY12" s="101"/>
      <c r="QYZ12" s="101"/>
      <c r="QZA12" s="101"/>
      <c r="QZB12" s="101"/>
      <c r="QZC12" s="101"/>
      <c r="QZD12" s="101"/>
      <c r="QZE12" s="101"/>
      <c r="QZF12" s="101"/>
      <c r="QZG12" s="101"/>
      <c r="QZH12" s="101"/>
      <c r="QZI12" s="101"/>
      <c r="QZJ12" s="101"/>
      <c r="QZK12" s="101"/>
      <c r="QZL12" s="101"/>
      <c r="QZM12" s="101"/>
      <c r="QZN12" s="101"/>
      <c r="QZO12" s="101"/>
      <c r="QZP12" s="101"/>
      <c r="QZQ12" s="101"/>
      <c r="QZR12" s="101"/>
      <c r="QZS12" s="101"/>
      <c r="QZT12" s="101"/>
      <c r="QZU12" s="101"/>
      <c r="QZV12" s="101"/>
      <c r="QZW12" s="101"/>
      <c r="QZX12" s="101"/>
      <c r="QZY12" s="101"/>
      <c r="QZZ12" s="101"/>
      <c r="RAA12" s="101"/>
      <c r="RAB12" s="101"/>
      <c r="RAC12" s="101"/>
      <c r="RAD12" s="101"/>
      <c r="RAE12" s="101"/>
      <c r="RAF12" s="101"/>
      <c r="RAG12" s="101"/>
      <c r="RAH12" s="101"/>
      <c r="RAI12" s="101"/>
      <c r="RAJ12" s="101"/>
      <c r="RAK12" s="101"/>
      <c r="RAL12" s="101"/>
      <c r="RAM12" s="101"/>
      <c r="RAN12" s="101"/>
      <c r="RAO12" s="101"/>
      <c r="RAP12" s="101"/>
      <c r="RAQ12" s="101"/>
      <c r="RAR12" s="101"/>
      <c r="RAS12" s="101"/>
      <c r="RAT12" s="101"/>
      <c r="RAU12" s="101"/>
      <c r="RAV12" s="101"/>
      <c r="RAW12" s="101"/>
      <c r="RAX12" s="101"/>
      <c r="RAY12" s="101"/>
      <c r="RAZ12" s="101"/>
      <c r="RBA12" s="101"/>
      <c r="RBB12" s="101"/>
      <c r="RBC12" s="101"/>
      <c r="RBD12" s="101"/>
      <c r="RBE12" s="101"/>
      <c r="RBF12" s="101"/>
      <c r="RBG12" s="101"/>
      <c r="RBH12" s="101"/>
      <c r="RBI12" s="101"/>
      <c r="RBJ12" s="101"/>
      <c r="RBK12" s="101"/>
      <c r="RBL12" s="101"/>
      <c r="RBM12" s="101"/>
      <c r="RBN12" s="101"/>
      <c r="RBO12" s="101"/>
      <c r="RBP12" s="101"/>
      <c r="RBQ12" s="101"/>
      <c r="RBR12" s="101"/>
      <c r="RBS12" s="101"/>
      <c r="RBT12" s="101"/>
      <c r="RBU12" s="101"/>
      <c r="RBV12" s="101"/>
      <c r="RBW12" s="101"/>
      <c r="RBX12" s="101"/>
      <c r="RBY12" s="101"/>
      <c r="RBZ12" s="101"/>
      <c r="RCA12" s="101"/>
      <c r="RCB12" s="101"/>
      <c r="RCC12" s="101"/>
      <c r="RCD12" s="101"/>
      <c r="RCE12" s="101"/>
      <c r="RCF12" s="101"/>
      <c r="RCG12" s="101"/>
      <c r="RCH12" s="101"/>
      <c r="RCI12" s="101"/>
      <c r="RCJ12" s="101"/>
      <c r="RCK12" s="101"/>
      <c r="RCL12" s="101"/>
      <c r="RCM12" s="101"/>
      <c r="RCN12" s="101"/>
      <c r="RCO12" s="101"/>
      <c r="RCP12" s="101"/>
      <c r="RCQ12" s="101"/>
      <c r="RCR12" s="101"/>
      <c r="RCS12" s="101"/>
      <c r="RCT12" s="101"/>
      <c r="RCU12" s="101"/>
      <c r="RCV12" s="101"/>
      <c r="RCW12" s="101"/>
      <c r="RCX12" s="101"/>
      <c r="RCY12" s="101"/>
      <c r="RCZ12" s="101"/>
      <c r="RDA12" s="101"/>
      <c r="RDB12" s="101"/>
      <c r="RDC12" s="101"/>
      <c r="RDD12" s="101"/>
      <c r="RDE12" s="101"/>
      <c r="RDF12" s="101"/>
      <c r="RDG12" s="101"/>
      <c r="RDH12" s="101"/>
      <c r="RDI12" s="101"/>
      <c r="RDJ12" s="101"/>
      <c r="RDK12" s="101"/>
      <c r="RDL12" s="101"/>
      <c r="RDM12" s="101"/>
      <c r="RDN12" s="101"/>
      <c r="RDO12" s="101"/>
      <c r="RDP12" s="101"/>
      <c r="RDQ12" s="101"/>
      <c r="RDR12" s="101"/>
      <c r="RDS12" s="101"/>
      <c r="RDT12" s="101"/>
      <c r="RDU12" s="101"/>
      <c r="RDV12" s="101"/>
      <c r="RDW12" s="101"/>
      <c r="RDX12" s="101"/>
      <c r="RDY12" s="101"/>
      <c r="RDZ12" s="101"/>
      <c r="REA12" s="101"/>
      <c r="REB12" s="101"/>
      <c r="REC12" s="101"/>
      <c r="RED12" s="101"/>
      <c r="REE12" s="101"/>
      <c r="REF12" s="101"/>
      <c r="REG12" s="101"/>
      <c r="REH12" s="101"/>
      <c r="REI12" s="101"/>
      <c r="REJ12" s="101"/>
      <c r="REK12" s="101"/>
      <c r="REL12" s="101"/>
      <c r="REM12" s="101"/>
      <c r="REN12" s="101"/>
      <c r="REO12" s="101"/>
      <c r="REP12" s="101"/>
      <c r="REQ12" s="101"/>
      <c r="RER12" s="101"/>
      <c r="RES12" s="101"/>
      <c r="RET12" s="101"/>
      <c r="REU12" s="101"/>
      <c r="REV12" s="101"/>
      <c r="REW12" s="101"/>
      <c r="REX12" s="101"/>
      <c r="REY12" s="101"/>
      <c r="REZ12" s="101"/>
      <c r="RFA12" s="101"/>
      <c r="RFB12" s="101"/>
      <c r="RFC12" s="101"/>
      <c r="RFD12" s="101"/>
      <c r="RFE12" s="101"/>
      <c r="RFF12" s="101"/>
      <c r="RFG12" s="101"/>
      <c r="RFH12" s="101"/>
      <c r="RFI12" s="101"/>
      <c r="RFJ12" s="101"/>
      <c r="RFK12" s="101"/>
      <c r="RFL12" s="101"/>
      <c r="RFM12" s="101"/>
      <c r="RFN12" s="101"/>
      <c r="RFO12" s="101"/>
      <c r="RFP12" s="101"/>
      <c r="RFQ12" s="101"/>
      <c r="RFR12" s="101"/>
      <c r="RFS12" s="101"/>
      <c r="RFT12" s="101"/>
      <c r="RFU12" s="101"/>
      <c r="RFV12" s="101"/>
      <c r="RFW12" s="101"/>
      <c r="RFX12" s="101"/>
      <c r="RFY12" s="101"/>
      <c r="RFZ12" s="101"/>
      <c r="RGA12" s="101"/>
      <c r="RGB12" s="101"/>
      <c r="RGC12" s="101"/>
      <c r="RGD12" s="101"/>
      <c r="RGE12" s="101"/>
      <c r="RGF12" s="101"/>
      <c r="RGG12" s="101"/>
      <c r="RGH12" s="101"/>
      <c r="RGI12" s="101"/>
      <c r="RGJ12" s="101"/>
      <c r="RGK12" s="101"/>
      <c r="RGL12" s="101"/>
      <c r="RGM12" s="101"/>
      <c r="RGN12" s="101"/>
      <c r="RGO12" s="101"/>
      <c r="RGP12" s="101"/>
      <c r="RGQ12" s="101"/>
      <c r="RGR12" s="101"/>
      <c r="RGS12" s="101"/>
      <c r="RGT12" s="101"/>
      <c r="RGU12" s="101"/>
      <c r="RGV12" s="101"/>
      <c r="RGW12" s="101"/>
      <c r="RGX12" s="101"/>
      <c r="RGY12" s="101"/>
      <c r="RGZ12" s="101"/>
      <c r="RHA12" s="101"/>
      <c r="RHB12" s="101"/>
      <c r="RHC12" s="101"/>
      <c r="RHD12" s="101"/>
      <c r="RHE12" s="101"/>
      <c r="RHF12" s="101"/>
      <c r="RHG12" s="101"/>
      <c r="RHH12" s="101"/>
      <c r="RHI12" s="101"/>
      <c r="RHJ12" s="101"/>
      <c r="RHK12" s="101"/>
      <c r="RHL12" s="101"/>
      <c r="RHM12" s="101"/>
      <c r="RHN12" s="101"/>
      <c r="RHO12" s="101"/>
      <c r="RHP12" s="101"/>
      <c r="RHQ12" s="101"/>
      <c r="RHR12" s="101"/>
      <c r="RHS12" s="101"/>
      <c r="RHT12" s="101"/>
      <c r="RHU12" s="101"/>
      <c r="RHV12" s="101"/>
      <c r="RHW12" s="101"/>
      <c r="RHX12" s="101"/>
      <c r="RHY12" s="101"/>
      <c r="RHZ12" s="101"/>
      <c r="RIA12" s="101"/>
      <c r="RIB12" s="101"/>
      <c r="RIC12" s="101"/>
      <c r="RID12" s="101"/>
      <c r="RIE12" s="101"/>
      <c r="RIF12" s="101"/>
      <c r="RIG12" s="101"/>
      <c r="RIH12" s="101"/>
      <c r="RII12" s="101"/>
      <c r="RIJ12" s="101"/>
      <c r="RIK12" s="101"/>
      <c r="RIL12" s="101"/>
      <c r="RIM12" s="101"/>
      <c r="RIN12" s="101"/>
      <c r="RIO12" s="101"/>
      <c r="RIP12" s="101"/>
      <c r="RIQ12" s="101"/>
      <c r="RIR12" s="101"/>
      <c r="RIS12" s="101"/>
      <c r="RIT12" s="101"/>
      <c r="RIU12" s="101"/>
      <c r="RIV12" s="101"/>
      <c r="RIW12" s="101"/>
      <c r="RIX12" s="101"/>
      <c r="RIY12" s="101"/>
      <c r="RIZ12" s="101"/>
      <c r="RJA12" s="101"/>
      <c r="RJB12" s="101"/>
      <c r="RJC12" s="101"/>
      <c r="RJD12" s="101"/>
      <c r="RJE12" s="101"/>
      <c r="RJF12" s="101"/>
      <c r="RJG12" s="101"/>
      <c r="RJH12" s="101"/>
      <c r="RJI12" s="101"/>
      <c r="RJJ12" s="101"/>
      <c r="RJK12" s="101"/>
      <c r="RJL12" s="101"/>
      <c r="RJM12" s="101"/>
      <c r="RJN12" s="101"/>
      <c r="RJO12" s="101"/>
      <c r="RJP12" s="101"/>
      <c r="RJQ12" s="101"/>
      <c r="RJR12" s="101"/>
      <c r="RJS12" s="101"/>
      <c r="RJT12" s="101"/>
      <c r="RJU12" s="101"/>
      <c r="RJV12" s="101"/>
      <c r="RJW12" s="101"/>
      <c r="RJX12" s="101"/>
      <c r="RJY12" s="101"/>
      <c r="RJZ12" s="101"/>
      <c r="RKA12" s="101"/>
      <c r="RKB12" s="101"/>
      <c r="RKC12" s="101"/>
      <c r="RKD12" s="101"/>
      <c r="RKE12" s="101"/>
      <c r="RKF12" s="101"/>
      <c r="RKG12" s="101"/>
      <c r="RKH12" s="101"/>
      <c r="RKI12" s="101"/>
      <c r="RKJ12" s="101"/>
      <c r="RKK12" s="101"/>
      <c r="RKL12" s="101"/>
      <c r="RKM12" s="101"/>
      <c r="RKN12" s="101"/>
      <c r="RKO12" s="101"/>
      <c r="RKP12" s="101"/>
      <c r="RKQ12" s="101"/>
      <c r="RKR12" s="101"/>
      <c r="RKS12" s="101"/>
      <c r="RKT12" s="101"/>
      <c r="RKU12" s="101"/>
      <c r="RKV12" s="101"/>
      <c r="RKW12" s="101"/>
      <c r="RKX12" s="101"/>
      <c r="RKY12" s="101"/>
      <c r="RKZ12" s="101"/>
      <c r="RLA12" s="101"/>
      <c r="RLB12" s="101"/>
      <c r="RLC12" s="101"/>
      <c r="RLD12" s="101"/>
      <c r="RLE12" s="101"/>
      <c r="RLF12" s="101"/>
      <c r="RLG12" s="101"/>
      <c r="RLH12" s="101"/>
      <c r="RLI12" s="101"/>
      <c r="RLJ12" s="101"/>
      <c r="RLK12" s="101"/>
      <c r="RLL12" s="101"/>
      <c r="RLM12" s="101"/>
      <c r="RLN12" s="101"/>
      <c r="RLO12" s="101"/>
      <c r="RLP12" s="101"/>
      <c r="RLQ12" s="101"/>
      <c r="RLR12" s="101"/>
      <c r="RLS12" s="101"/>
      <c r="RLT12" s="101"/>
      <c r="RLU12" s="101"/>
      <c r="RLV12" s="101"/>
      <c r="RLW12" s="101"/>
      <c r="RLX12" s="101"/>
      <c r="RLY12" s="101"/>
      <c r="RLZ12" s="101"/>
      <c r="RMA12" s="101"/>
      <c r="RMB12" s="101"/>
      <c r="RMC12" s="101"/>
      <c r="RMD12" s="101"/>
      <c r="RME12" s="101"/>
      <c r="RMF12" s="101"/>
      <c r="RMG12" s="101"/>
      <c r="RMH12" s="101"/>
      <c r="RMI12" s="101"/>
      <c r="RMJ12" s="101"/>
      <c r="RMK12" s="101"/>
      <c r="RML12" s="101"/>
      <c r="RMM12" s="101"/>
      <c r="RMN12" s="101"/>
      <c r="RMO12" s="101"/>
      <c r="RMP12" s="101"/>
      <c r="RMQ12" s="101"/>
      <c r="RMR12" s="101"/>
      <c r="RMS12" s="101"/>
      <c r="RMT12" s="101"/>
      <c r="RMU12" s="101"/>
      <c r="RMV12" s="101"/>
      <c r="RMW12" s="101"/>
      <c r="RMX12" s="101"/>
      <c r="RMY12" s="101"/>
      <c r="RMZ12" s="101"/>
      <c r="RNA12" s="101"/>
      <c r="RNB12" s="101"/>
      <c r="RNC12" s="101"/>
      <c r="RND12" s="101"/>
      <c r="RNE12" s="101"/>
      <c r="RNF12" s="101"/>
      <c r="RNG12" s="101"/>
      <c r="RNH12" s="101"/>
      <c r="RNI12" s="101"/>
      <c r="RNJ12" s="101"/>
      <c r="RNK12" s="101"/>
      <c r="RNL12" s="101"/>
      <c r="RNM12" s="101"/>
      <c r="RNN12" s="101"/>
      <c r="RNO12" s="101"/>
      <c r="RNP12" s="101"/>
      <c r="RNQ12" s="101"/>
      <c r="RNR12" s="101"/>
      <c r="RNS12" s="101"/>
      <c r="RNT12" s="101"/>
      <c r="RNU12" s="101"/>
      <c r="RNV12" s="101"/>
      <c r="RNW12" s="101"/>
      <c r="RNX12" s="101"/>
      <c r="RNY12" s="101"/>
      <c r="RNZ12" s="101"/>
      <c r="ROA12" s="101"/>
      <c r="ROB12" s="101"/>
      <c r="ROC12" s="101"/>
      <c r="ROD12" s="101"/>
      <c r="ROE12" s="101"/>
      <c r="ROF12" s="101"/>
      <c r="ROG12" s="101"/>
      <c r="ROH12" s="101"/>
      <c r="ROI12" s="101"/>
      <c r="ROJ12" s="101"/>
      <c r="ROK12" s="101"/>
      <c r="ROL12" s="101"/>
      <c r="ROM12" s="101"/>
      <c r="RON12" s="101"/>
      <c r="ROO12" s="101"/>
      <c r="ROP12" s="101"/>
      <c r="ROQ12" s="101"/>
      <c r="ROR12" s="101"/>
      <c r="ROS12" s="101"/>
      <c r="ROT12" s="101"/>
      <c r="ROU12" s="101"/>
      <c r="ROV12" s="101"/>
      <c r="ROW12" s="101"/>
      <c r="ROX12" s="101"/>
      <c r="ROY12" s="101"/>
      <c r="ROZ12" s="101"/>
      <c r="RPA12" s="101"/>
      <c r="RPB12" s="101"/>
      <c r="RPC12" s="101"/>
      <c r="RPD12" s="101"/>
      <c r="RPE12" s="101"/>
      <c r="RPF12" s="101"/>
      <c r="RPG12" s="101"/>
      <c r="RPH12" s="101"/>
      <c r="RPI12" s="101"/>
      <c r="RPJ12" s="101"/>
      <c r="RPK12" s="101"/>
      <c r="RPL12" s="101"/>
      <c r="RPM12" s="101"/>
      <c r="RPN12" s="101"/>
      <c r="RPO12" s="101"/>
      <c r="RPP12" s="101"/>
      <c r="RPQ12" s="101"/>
      <c r="RPR12" s="101"/>
      <c r="RPS12" s="101"/>
      <c r="RPT12" s="101"/>
      <c r="RPU12" s="101"/>
      <c r="RPV12" s="101"/>
      <c r="RPW12" s="101"/>
      <c r="RPX12" s="101"/>
      <c r="RPY12" s="101"/>
      <c r="RPZ12" s="101"/>
      <c r="RQA12" s="101"/>
      <c r="RQB12" s="101"/>
      <c r="RQC12" s="101"/>
      <c r="RQD12" s="101"/>
      <c r="RQE12" s="101"/>
      <c r="RQF12" s="101"/>
      <c r="RQG12" s="101"/>
      <c r="RQH12" s="101"/>
      <c r="RQI12" s="101"/>
      <c r="RQJ12" s="101"/>
      <c r="RQK12" s="101"/>
      <c r="RQL12" s="101"/>
      <c r="RQM12" s="101"/>
      <c r="RQN12" s="101"/>
      <c r="RQO12" s="101"/>
      <c r="RQP12" s="101"/>
      <c r="RQQ12" s="101"/>
      <c r="RQR12" s="101"/>
      <c r="RQS12" s="101"/>
      <c r="RQT12" s="101"/>
      <c r="RQU12" s="101"/>
      <c r="RQV12" s="101"/>
      <c r="RQW12" s="101"/>
      <c r="RQX12" s="101"/>
      <c r="RQY12" s="101"/>
      <c r="RQZ12" s="101"/>
      <c r="RRA12" s="101"/>
      <c r="RRB12" s="101"/>
      <c r="RRC12" s="101"/>
      <c r="RRD12" s="101"/>
      <c r="RRE12" s="101"/>
      <c r="RRF12" s="101"/>
      <c r="RRG12" s="101"/>
      <c r="RRH12" s="101"/>
      <c r="RRI12" s="101"/>
      <c r="RRJ12" s="101"/>
      <c r="RRK12" s="101"/>
      <c r="RRL12" s="101"/>
      <c r="RRM12" s="101"/>
      <c r="RRN12" s="101"/>
      <c r="RRO12" s="101"/>
      <c r="RRP12" s="101"/>
      <c r="RRQ12" s="101"/>
      <c r="RRR12" s="101"/>
      <c r="RRS12" s="101"/>
      <c r="RRT12" s="101"/>
      <c r="RRU12" s="101"/>
      <c r="RRV12" s="101"/>
      <c r="RRW12" s="101"/>
      <c r="RRX12" s="101"/>
      <c r="RRY12" s="101"/>
      <c r="RRZ12" s="101"/>
      <c r="RSA12" s="101"/>
      <c r="RSB12" s="101"/>
      <c r="RSC12" s="101"/>
      <c r="RSD12" s="101"/>
      <c r="RSE12" s="101"/>
      <c r="RSF12" s="101"/>
      <c r="RSG12" s="101"/>
      <c r="RSH12" s="101"/>
      <c r="RSI12" s="101"/>
      <c r="RSJ12" s="101"/>
      <c r="RSK12" s="101"/>
      <c r="RSL12" s="101"/>
      <c r="RSM12" s="101"/>
      <c r="RSN12" s="101"/>
      <c r="RSO12" s="101"/>
      <c r="RSP12" s="101"/>
      <c r="RSQ12" s="101"/>
      <c r="RSR12" s="101"/>
      <c r="RSS12" s="101"/>
      <c r="RST12" s="101"/>
      <c r="RSU12" s="101"/>
      <c r="RSV12" s="101"/>
      <c r="RSW12" s="101"/>
      <c r="RSX12" s="101"/>
      <c r="RSY12" s="101"/>
      <c r="RSZ12" s="101"/>
      <c r="RTA12" s="101"/>
      <c r="RTB12" s="101"/>
      <c r="RTC12" s="101"/>
      <c r="RTD12" s="101"/>
      <c r="RTE12" s="101"/>
      <c r="RTF12" s="101"/>
      <c r="RTG12" s="101"/>
      <c r="RTH12" s="101"/>
      <c r="RTI12" s="101"/>
      <c r="RTJ12" s="101"/>
      <c r="RTK12" s="101"/>
      <c r="RTL12" s="101"/>
      <c r="RTM12" s="101"/>
      <c r="RTN12" s="101"/>
      <c r="RTO12" s="101"/>
      <c r="RTP12" s="101"/>
      <c r="RTQ12" s="101"/>
      <c r="RTR12" s="101"/>
      <c r="RTS12" s="101"/>
      <c r="RTT12" s="101"/>
      <c r="RTU12" s="101"/>
      <c r="RTV12" s="101"/>
      <c r="RTW12" s="101"/>
      <c r="RTX12" s="101"/>
      <c r="RTY12" s="101"/>
      <c r="RTZ12" s="101"/>
      <c r="RUA12" s="101"/>
      <c r="RUB12" s="101"/>
      <c r="RUC12" s="101"/>
      <c r="RUD12" s="101"/>
      <c r="RUE12" s="101"/>
      <c r="RUF12" s="101"/>
      <c r="RUG12" s="101"/>
      <c r="RUH12" s="101"/>
      <c r="RUI12" s="101"/>
      <c r="RUJ12" s="101"/>
      <c r="RUK12" s="101"/>
      <c r="RUL12" s="101"/>
      <c r="RUM12" s="101"/>
      <c r="RUN12" s="101"/>
      <c r="RUO12" s="101"/>
      <c r="RUP12" s="101"/>
      <c r="RUQ12" s="101"/>
      <c r="RUR12" s="101"/>
      <c r="RUS12" s="101"/>
      <c r="RUT12" s="101"/>
      <c r="RUU12" s="101"/>
      <c r="RUV12" s="101"/>
      <c r="RUW12" s="101"/>
      <c r="RUX12" s="101"/>
      <c r="RUY12" s="101"/>
      <c r="RUZ12" s="101"/>
      <c r="RVA12" s="101"/>
      <c r="RVB12" s="101"/>
      <c r="RVC12" s="101"/>
      <c r="RVD12" s="101"/>
      <c r="RVE12" s="101"/>
      <c r="RVF12" s="101"/>
      <c r="RVG12" s="101"/>
      <c r="RVH12" s="101"/>
      <c r="RVI12" s="101"/>
      <c r="RVJ12" s="101"/>
      <c r="RVK12" s="101"/>
      <c r="RVL12" s="101"/>
      <c r="RVM12" s="101"/>
      <c r="RVN12" s="101"/>
      <c r="RVO12" s="101"/>
      <c r="RVP12" s="101"/>
      <c r="RVQ12" s="101"/>
      <c r="RVR12" s="101"/>
      <c r="RVS12" s="101"/>
      <c r="RVT12" s="101"/>
      <c r="RVU12" s="101"/>
      <c r="RVV12" s="101"/>
      <c r="RVW12" s="101"/>
      <c r="RVX12" s="101"/>
      <c r="RVY12" s="101"/>
      <c r="RVZ12" s="101"/>
      <c r="RWA12" s="101"/>
      <c r="RWB12" s="101"/>
      <c r="RWC12" s="101"/>
      <c r="RWD12" s="101"/>
      <c r="RWE12" s="101"/>
      <c r="RWF12" s="101"/>
      <c r="RWG12" s="101"/>
      <c r="RWH12" s="101"/>
      <c r="RWI12" s="101"/>
      <c r="RWJ12" s="101"/>
      <c r="RWK12" s="101"/>
      <c r="RWL12" s="101"/>
      <c r="RWM12" s="101"/>
      <c r="RWN12" s="101"/>
      <c r="RWO12" s="101"/>
      <c r="RWP12" s="101"/>
      <c r="RWQ12" s="101"/>
      <c r="RWR12" s="101"/>
      <c r="RWS12" s="101"/>
      <c r="RWT12" s="101"/>
      <c r="RWU12" s="101"/>
      <c r="RWV12" s="101"/>
      <c r="RWW12" s="101"/>
      <c r="RWX12" s="101"/>
      <c r="RWY12" s="101"/>
      <c r="RWZ12" s="101"/>
      <c r="RXA12" s="101"/>
      <c r="RXB12" s="101"/>
      <c r="RXC12" s="101"/>
      <c r="RXD12" s="101"/>
      <c r="RXE12" s="101"/>
      <c r="RXF12" s="101"/>
      <c r="RXG12" s="101"/>
      <c r="RXH12" s="101"/>
      <c r="RXI12" s="101"/>
      <c r="RXJ12" s="101"/>
      <c r="RXK12" s="101"/>
      <c r="RXL12" s="101"/>
      <c r="RXM12" s="101"/>
      <c r="RXN12" s="101"/>
      <c r="RXO12" s="101"/>
      <c r="RXP12" s="101"/>
      <c r="RXQ12" s="101"/>
      <c r="RXR12" s="101"/>
      <c r="RXS12" s="101"/>
      <c r="RXT12" s="101"/>
      <c r="RXU12" s="101"/>
      <c r="RXV12" s="101"/>
      <c r="RXW12" s="101"/>
      <c r="RXX12" s="101"/>
      <c r="RXY12" s="101"/>
      <c r="RXZ12" s="101"/>
      <c r="RYA12" s="101"/>
      <c r="RYB12" s="101"/>
      <c r="RYC12" s="101"/>
      <c r="RYD12" s="101"/>
      <c r="RYE12" s="101"/>
      <c r="RYF12" s="101"/>
      <c r="RYG12" s="101"/>
      <c r="RYH12" s="101"/>
      <c r="RYI12" s="101"/>
      <c r="RYJ12" s="101"/>
      <c r="RYK12" s="101"/>
      <c r="RYL12" s="101"/>
      <c r="RYM12" s="101"/>
      <c r="RYN12" s="101"/>
      <c r="RYO12" s="101"/>
      <c r="RYP12" s="101"/>
      <c r="RYQ12" s="101"/>
      <c r="RYR12" s="101"/>
      <c r="RYS12" s="101"/>
      <c r="RYT12" s="101"/>
      <c r="RYU12" s="101"/>
      <c r="RYV12" s="101"/>
      <c r="RYW12" s="101"/>
      <c r="RYX12" s="101"/>
      <c r="RYY12" s="101"/>
      <c r="RYZ12" s="101"/>
      <c r="RZA12" s="101"/>
      <c r="RZB12" s="101"/>
      <c r="RZC12" s="101"/>
      <c r="RZD12" s="101"/>
      <c r="RZE12" s="101"/>
      <c r="RZF12" s="101"/>
      <c r="RZG12" s="101"/>
      <c r="RZH12" s="101"/>
      <c r="RZI12" s="101"/>
      <c r="RZJ12" s="101"/>
      <c r="RZK12" s="101"/>
      <c r="RZL12" s="101"/>
      <c r="RZM12" s="101"/>
      <c r="RZN12" s="101"/>
      <c r="RZO12" s="101"/>
      <c r="RZP12" s="101"/>
      <c r="RZQ12" s="101"/>
      <c r="RZR12" s="101"/>
      <c r="RZS12" s="101"/>
      <c r="RZT12" s="101"/>
      <c r="RZU12" s="101"/>
      <c r="RZV12" s="101"/>
      <c r="RZW12" s="101"/>
      <c r="RZX12" s="101"/>
      <c r="RZY12" s="101"/>
      <c r="RZZ12" s="101"/>
      <c r="SAA12" s="101"/>
      <c r="SAB12" s="101"/>
      <c r="SAC12" s="101"/>
      <c r="SAD12" s="101"/>
      <c r="SAE12" s="101"/>
      <c r="SAF12" s="101"/>
      <c r="SAG12" s="101"/>
      <c r="SAH12" s="101"/>
      <c r="SAI12" s="101"/>
      <c r="SAJ12" s="101"/>
      <c r="SAK12" s="101"/>
      <c r="SAL12" s="101"/>
      <c r="SAM12" s="101"/>
      <c r="SAN12" s="101"/>
      <c r="SAO12" s="101"/>
      <c r="SAP12" s="101"/>
      <c r="SAQ12" s="101"/>
      <c r="SAR12" s="101"/>
      <c r="SAS12" s="101"/>
      <c r="SAT12" s="101"/>
      <c r="SAU12" s="101"/>
      <c r="SAV12" s="101"/>
      <c r="SAW12" s="101"/>
      <c r="SAX12" s="101"/>
      <c r="SAY12" s="101"/>
      <c r="SAZ12" s="101"/>
      <c r="SBA12" s="101"/>
      <c r="SBB12" s="101"/>
      <c r="SBC12" s="101"/>
      <c r="SBD12" s="101"/>
      <c r="SBE12" s="101"/>
      <c r="SBF12" s="101"/>
      <c r="SBG12" s="101"/>
      <c r="SBH12" s="101"/>
      <c r="SBI12" s="101"/>
      <c r="SBJ12" s="101"/>
      <c r="SBK12" s="101"/>
      <c r="SBL12" s="101"/>
      <c r="SBM12" s="101"/>
      <c r="SBN12" s="101"/>
      <c r="SBO12" s="101"/>
      <c r="SBP12" s="101"/>
      <c r="SBQ12" s="101"/>
      <c r="SBR12" s="101"/>
      <c r="SBS12" s="101"/>
      <c r="SBT12" s="101"/>
      <c r="SBU12" s="101"/>
      <c r="SBV12" s="101"/>
      <c r="SBW12" s="101"/>
      <c r="SBX12" s="101"/>
      <c r="SBY12" s="101"/>
      <c r="SBZ12" s="101"/>
      <c r="SCA12" s="101"/>
      <c r="SCB12" s="101"/>
      <c r="SCC12" s="101"/>
      <c r="SCD12" s="101"/>
      <c r="SCE12" s="101"/>
      <c r="SCF12" s="101"/>
      <c r="SCG12" s="101"/>
      <c r="SCH12" s="101"/>
      <c r="SCI12" s="101"/>
      <c r="SCJ12" s="101"/>
      <c r="SCK12" s="101"/>
      <c r="SCL12" s="101"/>
      <c r="SCM12" s="101"/>
      <c r="SCN12" s="101"/>
      <c r="SCO12" s="101"/>
      <c r="SCP12" s="101"/>
      <c r="SCQ12" s="101"/>
      <c r="SCR12" s="101"/>
      <c r="SCS12" s="101"/>
      <c r="SCT12" s="101"/>
      <c r="SCU12" s="101"/>
      <c r="SCV12" s="101"/>
      <c r="SCW12" s="101"/>
      <c r="SCX12" s="101"/>
      <c r="SCY12" s="101"/>
      <c r="SCZ12" s="101"/>
      <c r="SDA12" s="101"/>
      <c r="SDB12" s="101"/>
      <c r="SDC12" s="101"/>
      <c r="SDD12" s="101"/>
      <c r="SDE12" s="101"/>
      <c r="SDF12" s="101"/>
      <c r="SDG12" s="101"/>
      <c r="SDH12" s="101"/>
      <c r="SDI12" s="101"/>
      <c r="SDJ12" s="101"/>
      <c r="SDK12" s="101"/>
      <c r="SDL12" s="101"/>
      <c r="SDM12" s="101"/>
      <c r="SDN12" s="101"/>
      <c r="SDO12" s="101"/>
      <c r="SDP12" s="101"/>
      <c r="SDQ12" s="101"/>
      <c r="SDR12" s="101"/>
      <c r="SDS12" s="101"/>
      <c r="SDT12" s="101"/>
      <c r="SDU12" s="101"/>
      <c r="SDV12" s="101"/>
      <c r="SDW12" s="101"/>
      <c r="SDX12" s="101"/>
      <c r="SDY12" s="101"/>
      <c r="SDZ12" s="101"/>
      <c r="SEA12" s="101"/>
      <c r="SEB12" s="101"/>
      <c r="SEC12" s="101"/>
      <c r="SED12" s="101"/>
      <c r="SEE12" s="101"/>
      <c r="SEF12" s="101"/>
      <c r="SEG12" s="101"/>
      <c r="SEH12" s="101"/>
      <c r="SEI12" s="101"/>
      <c r="SEJ12" s="101"/>
      <c r="SEK12" s="101"/>
      <c r="SEL12" s="101"/>
      <c r="SEM12" s="101"/>
      <c r="SEN12" s="101"/>
      <c r="SEO12" s="101"/>
      <c r="SEP12" s="101"/>
      <c r="SEQ12" s="101"/>
      <c r="SER12" s="101"/>
      <c r="SES12" s="101"/>
      <c r="SET12" s="101"/>
      <c r="SEU12" s="101"/>
      <c r="SEV12" s="101"/>
      <c r="SEW12" s="101"/>
      <c r="SEX12" s="101"/>
      <c r="SEY12" s="101"/>
      <c r="SEZ12" s="101"/>
      <c r="SFA12" s="101"/>
      <c r="SFB12" s="101"/>
      <c r="SFC12" s="101"/>
      <c r="SFD12" s="101"/>
      <c r="SFE12" s="101"/>
      <c r="SFF12" s="101"/>
      <c r="SFG12" s="101"/>
      <c r="SFH12" s="101"/>
      <c r="SFI12" s="101"/>
      <c r="SFJ12" s="101"/>
      <c r="SFK12" s="101"/>
      <c r="SFL12" s="101"/>
      <c r="SFM12" s="101"/>
      <c r="SFN12" s="101"/>
      <c r="SFO12" s="101"/>
      <c r="SFP12" s="101"/>
      <c r="SFQ12" s="101"/>
      <c r="SFR12" s="101"/>
      <c r="SFS12" s="101"/>
      <c r="SFT12" s="101"/>
      <c r="SFU12" s="101"/>
      <c r="SFV12" s="101"/>
      <c r="SFW12" s="101"/>
      <c r="SFX12" s="101"/>
      <c r="SFY12" s="101"/>
      <c r="SFZ12" s="101"/>
      <c r="SGA12" s="101"/>
      <c r="SGB12" s="101"/>
      <c r="SGC12" s="101"/>
      <c r="SGD12" s="101"/>
      <c r="SGE12" s="101"/>
      <c r="SGF12" s="101"/>
      <c r="SGG12" s="101"/>
      <c r="SGH12" s="101"/>
      <c r="SGI12" s="101"/>
      <c r="SGJ12" s="101"/>
      <c r="SGK12" s="101"/>
      <c r="SGL12" s="101"/>
      <c r="SGM12" s="101"/>
      <c r="SGN12" s="101"/>
      <c r="SGO12" s="101"/>
      <c r="SGP12" s="101"/>
      <c r="SGQ12" s="101"/>
      <c r="SGR12" s="101"/>
      <c r="SGS12" s="101"/>
      <c r="SGT12" s="101"/>
      <c r="SGU12" s="101"/>
      <c r="SGV12" s="101"/>
      <c r="SGW12" s="101"/>
      <c r="SGX12" s="101"/>
      <c r="SGY12" s="101"/>
      <c r="SGZ12" s="101"/>
      <c r="SHA12" s="101"/>
      <c r="SHB12" s="101"/>
      <c r="SHC12" s="101"/>
      <c r="SHD12" s="101"/>
      <c r="SHE12" s="101"/>
      <c r="SHF12" s="101"/>
      <c r="SHG12" s="101"/>
      <c r="SHH12" s="101"/>
      <c r="SHI12" s="101"/>
      <c r="SHJ12" s="101"/>
      <c r="SHK12" s="101"/>
      <c r="SHL12" s="101"/>
      <c r="SHM12" s="101"/>
      <c r="SHN12" s="101"/>
      <c r="SHO12" s="101"/>
      <c r="SHP12" s="101"/>
      <c r="SHQ12" s="101"/>
      <c r="SHR12" s="101"/>
      <c r="SHS12" s="101"/>
      <c r="SHT12" s="101"/>
      <c r="SHU12" s="101"/>
      <c r="SHV12" s="101"/>
      <c r="SHW12" s="101"/>
      <c r="SHX12" s="101"/>
      <c r="SHY12" s="101"/>
      <c r="SHZ12" s="101"/>
      <c r="SIA12" s="101"/>
      <c r="SIB12" s="101"/>
      <c r="SIC12" s="101"/>
      <c r="SID12" s="101"/>
      <c r="SIE12" s="101"/>
      <c r="SIF12" s="101"/>
      <c r="SIG12" s="101"/>
      <c r="SIH12" s="101"/>
      <c r="SII12" s="101"/>
      <c r="SIJ12" s="101"/>
      <c r="SIK12" s="101"/>
      <c r="SIL12" s="101"/>
      <c r="SIM12" s="101"/>
      <c r="SIN12" s="101"/>
      <c r="SIO12" s="101"/>
      <c r="SIP12" s="101"/>
      <c r="SIQ12" s="101"/>
      <c r="SIR12" s="101"/>
      <c r="SIS12" s="101"/>
      <c r="SIT12" s="101"/>
      <c r="SIU12" s="101"/>
      <c r="SIV12" s="101"/>
      <c r="SIW12" s="101"/>
      <c r="SIX12" s="101"/>
      <c r="SIY12" s="101"/>
      <c r="SIZ12" s="101"/>
      <c r="SJA12" s="101"/>
      <c r="SJB12" s="101"/>
      <c r="SJC12" s="101"/>
      <c r="SJD12" s="101"/>
      <c r="SJE12" s="101"/>
      <c r="SJF12" s="101"/>
      <c r="SJG12" s="101"/>
      <c r="SJH12" s="101"/>
      <c r="SJI12" s="101"/>
      <c r="SJJ12" s="101"/>
      <c r="SJK12" s="101"/>
      <c r="SJL12" s="101"/>
      <c r="SJM12" s="101"/>
      <c r="SJN12" s="101"/>
      <c r="SJO12" s="101"/>
      <c r="SJP12" s="101"/>
      <c r="SJQ12" s="101"/>
      <c r="SJR12" s="101"/>
      <c r="SJS12" s="101"/>
      <c r="SJT12" s="101"/>
      <c r="SJU12" s="101"/>
      <c r="SJV12" s="101"/>
      <c r="SJW12" s="101"/>
      <c r="SJX12" s="101"/>
      <c r="SJY12" s="101"/>
      <c r="SJZ12" s="101"/>
      <c r="SKA12" s="101"/>
      <c r="SKB12" s="101"/>
      <c r="SKC12" s="101"/>
      <c r="SKD12" s="101"/>
      <c r="SKE12" s="101"/>
      <c r="SKF12" s="101"/>
      <c r="SKG12" s="101"/>
      <c r="SKH12" s="101"/>
      <c r="SKI12" s="101"/>
      <c r="SKJ12" s="101"/>
      <c r="SKK12" s="101"/>
      <c r="SKL12" s="101"/>
      <c r="SKM12" s="101"/>
      <c r="SKN12" s="101"/>
      <c r="SKO12" s="101"/>
      <c r="SKP12" s="101"/>
      <c r="SKQ12" s="101"/>
      <c r="SKR12" s="101"/>
      <c r="SKS12" s="101"/>
      <c r="SKT12" s="101"/>
      <c r="SKU12" s="101"/>
      <c r="SKV12" s="101"/>
      <c r="SKW12" s="101"/>
      <c r="SKX12" s="101"/>
      <c r="SKY12" s="101"/>
      <c r="SKZ12" s="101"/>
      <c r="SLA12" s="101"/>
      <c r="SLB12" s="101"/>
      <c r="SLC12" s="101"/>
      <c r="SLD12" s="101"/>
      <c r="SLE12" s="101"/>
      <c r="SLF12" s="101"/>
      <c r="SLG12" s="101"/>
      <c r="SLH12" s="101"/>
      <c r="SLI12" s="101"/>
      <c r="SLJ12" s="101"/>
      <c r="SLK12" s="101"/>
      <c r="SLL12" s="101"/>
      <c r="SLM12" s="101"/>
      <c r="SLN12" s="101"/>
      <c r="SLO12" s="101"/>
      <c r="SLP12" s="101"/>
      <c r="SLQ12" s="101"/>
      <c r="SLR12" s="101"/>
      <c r="SLS12" s="101"/>
      <c r="SLT12" s="101"/>
      <c r="SLU12" s="101"/>
      <c r="SLV12" s="101"/>
      <c r="SLW12" s="101"/>
      <c r="SLX12" s="101"/>
      <c r="SLY12" s="101"/>
      <c r="SLZ12" s="101"/>
      <c r="SMA12" s="101"/>
      <c r="SMB12" s="101"/>
      <c r="SMC12" s="101"/>
      <c r="SMD12" s="101"/>
      <c r="SME12" s="101"/>
      <c r="SMF12" s="101"/>
      <c r="SMG12" s="101"/>
      <c r="SMH12" s="101"/>
      <c r="SMI12" s="101"/>
      <c r="SMJ12" s="101"/>
      <c r="SMK12" s="101"/>
      <c r="SML12" s="101"/>
      <c r="SMM12" s="101"/>
      <c r="SMN12" s="101"/>
      <c r="SMO12" s="101"/>
      <c r="SMP12" s="101"/>
      <c r="SMQ12" s="101"/>
      <c r="SMR12" s="101"/>
      <c r="SMS12" s="101"/>
      <c r="SMT12" s="101"/>
      <c r="SMU12" s="101"/>
      <c r="SMV12" s="101"/>
      <c r="SMW12" s="101"/>
      <c r="SMX12" s="101"/>
      <c r="SMY12" s="101"/>
      <c r="SMZ12" s="101"/>
      <c r="SNA12" s="101"/>
      <c r="SNB12" s="101"/>
      <c r="SNC12" s="101"/>
      <c r="SND12" s="101"/>
      <c r="SNE12" s="101"/>
      <c r="SNF12" s="101"/>
      <c r="SNG12" s="101"/>
      <c r="SNH12" s="101"/>
      <c r="SNI12" s="101"/>
      <c r="SNJ12" s="101"/>
      <c r="SNK12" s="101"/>
      <c r="SNL12" s="101"/>
      <c r="SNM12" s="101"/>
      <c r="SNN12" s="101"/>
      <c r="SNO12" s="101"/>
      <c r="SNP12" s="101"/>
      <c r="SNQ12" s="101"/>
      <c r="SNR12" s="101"/>
      <c r="SNS12" s="101"/>
      <c r="SNT12" s="101"/>
      <c r="SNU12" s="101"/>
      <c r="SNV12" s="101"/>
      <c r="SNW12" s="101"/>
      <c r="SNX12" s="101"/>
      <c r="SNY12" s="101"/>
      <c r="SNZ12" s="101"/>
      <c r="SOA12" s="101"/>
      <c r="SOB12" s="101"/>
      <c r="SOC12" s="101"/>
      <c r="SOD12" s="101"/>
      <c r="SOE12" s="101"/>
      <c r="SOF12" s="101"/>
      <c r="SOG12" s="101"/>
      <c r="SOH12" s="101"/>
      <c r="SOI12" s="101"/>
      <c r="SOJ12" s="101"/>
      <c r="SOK12" s="101"/>
      <c r="SOL12" s="101"/>
      <c r="SOM12" s="101"/>
      <c r="SON12" s="101"/>
      <c r="SOO12" s="101"/>
      <c r="SOP12" s="101"/>
      <c r="SOQ12" s="101"/>
      <c r="SOR12" s="101"/>
      <c r="SOS12" s="101"/>
      <c r="SOT12" s="101"/>
      <c r="SOU12" s="101"/>
      <c r="SOV12" s="101"/>
      <c r="SOW12" s="101"/>
      <c r="SOX12" s="101"/>
      <c r="SOY12" s="101"/>
      <c r="SOZ12" s="101"/>
      <c r="SPA12" s="101"/>
      <c r="SPB12" s="101"/>
      <c r="SPC12" s="101"/>
      <c r="SPD12" s="101"/>
      <c r="SPE12" s="101"/>
      <c r="SPF12" s="101"/>
      <c r="SPG12" s="101"/>
      <c r="SPH12" s="101"/>
      <c r="SPI12" s="101"/>
      <c r="SPJ12" s="101"/>
      <c r="SPK12" s="101"/>
      <c r="SPL12" s="101"/>
      <c r="SPM12" s="101"/>
      <c r="SPN12" s="101"/>
      <c r="SPO12" s="101"/>
      <c r="SPP12" s="101"/>
      <c r="SPQ12" s="101"/>
      <c r="SPR12" s="101"/>
      <c r="SPS12" s="101"/>
      <c r="SPT12" s="101"/>
      <c r="SPU12" s="101"/>
      <c r="SPV12" s="101"/>
      <c r="SPW12" s="101"/>
      <c r="SPX12" s="101"/>
      <c r="SPY12" s="101"/>
      <c r="SPZ12" s="101"/>
      <c r="SQA12" s="101"/>
      <c r="SQB12" s="101"/>
      <c r="SQC12" s="101"/>
      <c r="SQD12" s="101"/>
      <c r="SQE12" s="101"/>
      <c r="SQF12" s="101"/>
      <c r="SQG12" s="101"/>
      <c r="SQH12" s="101"/>
      <c r="SQI12" s="101"/>
      <c r="SQJ12" s="101"/>
      <c r="SQK12" s="101"/>
      <c r="SQL12" s="101"/>
      <c r="SQM12" s="101"/>
      <c r="SQN12" s="101"/>
      <c r="SQO12" s="101"/>
      <c r="SQP12" s="101"/>
      <c r="SQQ12" s="101"/>
      <c r="SQR12" s="101"/>
      <c r="SQS12" s="101"/>
      <c r="SQT12" s="101"/>
      <c r="SQU12" s="101"/>
      <c r="SQV12" s="101"/>
      <c r="SQW12" s="101"/>
      <c r="SQX12" s="101"/>
      <c r="SQY12" s="101"/>
      <c r="SQZ12" s="101"/>
      <c r="SRA12" s="101"/>
      <c r="SRB12" s="101"/>
      <c r="SRC12" s="101"/>
      <c r="SRD12" s="101"/>
      <c r="SRE12" s="101"/>
      <c r="SRF12" s="101"/>
      <c r="SRG12" s="101"/>
      <c r="SRH12" s="101"/>
      <c r="SRI12" s="101"/>
      <c r="SRJ12" s="101"/>
      <c r="SRK12" s="101"/>
      <c r="SRL12" s="101"/>
      <c r="SRM12" s="101"/>
      <c r="SRN12" s="101"/>
      <c r="SRO12" s="101"/>
      <c r="SRP12" s="101"/>
      <c r="SRQ12" s="101"/>
      <c r="SRR12" s="101"/>
      <c r="SRS12" s="101"/>
      <c r="SRT12" s="101"/>
      <c r="SRU12" s="101"/>
      <c r="SRV12" s="101"/>
      <c r="SRW12" s="101"/>
      <c r="SRX12" s="101"/>
      <c r="SRY12" s="101"/>
      <c r="SRZ12" s="101"/>
      <c r="SSA12" s="101"/>
      <c r="SSB12" s="101"/>
      <c r="SSC12" s="101"/>
      <c r="SSD12" s="101"/>
      <c r="SSE12" s="101"/>
      <c r="SSF12" s="101"/>
      <c r="SSG12" s="101"/>
      <c r="SSH12" s="101"/>
      <c r="SSI12" s="101"/>
      <c r="SSJ12" s="101"/>
      <c r="SSK12" s="101"/>
      <c r="SSL12" s="101"/>
      <c r="SSM12" s="101"/>
      <c r="SSN12" s="101"/>
      <c r="SSO12" s="101"/>
      <c r="SSP12" s="101"/>
      <c r="SSQ12" s="101"/>
      <c r="SSR12" s="101"/>
      <c r="SSS12" s="101"/>
      <c r="SST12" s="101"/>
      <c r="SSU12" s="101"/>
      <c r="SSV12" s="101"/>
      <c r="SSW12" s="101"/>
      <c r="SSX12" s="101"/>
      <c r="SSY12" s="101"/>
      <c r="SSZ12" s="101"/>
      <c r="STA12" s="101"/>
      <c r="STB12" s="101"/>
      <c r="STC12" s="101"/>
      <c r="STD12" s="101"/>
      <c r="STE12" s="101"/>
      <c r="STF12" s="101"/>
      <c r="STG12" s="101"/>
      <c r="STH12" s="101"/>
      <c r="STI12" s="101"/>
      <c r="STJ12" s="101"/>
      <c r="STK12" s="101"/>
      <c r="STL12" s="101"/>
      <c r="STM12" s="101"/>
      <c r="STN12" s="101"/>
      <c r="STO12" s="101"/>
      <c r="STP12" s="101"/>
      <c r="STQ12" s="101"/>
      <c r="STR12" s="101"/>
      <c r="STS12" s="101"/>
      <c r="STT12" s="101"/>
      <c r="STU12" s="101"/>
      <c r="STV12" s="101"/>
      <c r="STW12" s="101"/>
      <c r="STX12" s="101"/>
      <c r="STY12" s="101"/>
      <c r="STZ12" s="101"/>
      <c r="SUA12" s="101"/>
      <c r="SUB12" s="101"/>
      <c r="SUC12" s="101"/>
      <c r="SUD12" s="101"/>
      <c r="SUE12" s="101"/>
      <c r="SUF12" s="101"/>
      <c r="SUG12" s="101"/>
      <c r="SUH12" s="101"/>
      <c r="SUI12" s="101"/>
      <c r="SUJ12" s="101"/>
      <c r="SUK12" s="101"/>
      <c r="SUL12" s="101"/>
      <c r="SUM12" s="101"/>
      <c r="SUN12" s="101"/>
      <c r="SUO12" s="101"/>
      <c r="SUP12" s="101"/>
      <c r="SUQ12" s="101"/>
      <c r="SUR12" s="101"/>
      <c r="SUS12" s="101"/>
      <c r="SUT12" s="101"/>
      <c r="SUU12" s="101"/>
      <c r="SUV12" s="101"/>
      <c r="SUW12" s="101"/>
      <c r="SUX12" s="101"/>
      <c r="SUY12" s="101"/>
      <c r="SUZ12" s="101"/>
      <c r="SVA12" s="101"/>
      <c r="SVB12" s="101"/>
      <c r="SVC12" s="101"/>
      <c r="SVD12" s="101"/>
      <c r="SVE12" s="101"/>
      <c r="SVF12" s="101"/>
      <c r="SVG12" s="101"/>
      <c r="SVH12" s="101"/>
      <c r="SVI12" s="101"/>
      <c r="SVJ12" s="101"/>
      <c r="SVK12" s="101"/>
      <c r="SVL12" s="101"/>
      <c r="SVM12" s="101"/>
      <c r="SVN12" s="101"/>
      <c r="SVO12" s="101"/>
      <c r="SVP12" s="101"/>
      <c r="SVQ12" s="101"/>
      <c r="SVR12" s="101"/>
      <c r="SVS12" s="101"/>
      <c r="SVT12" s="101"/>
      <c r="SVU12" s="101"/>
      <c r="SVV12" s="101"/>
      <c r="SVW12" s="101"/>
      <c r="SVX12" s="101"/>
      <c r="SVY12" s="101"/>
      <c r="SVZ12" s="101"/>
      <c r="SWA12" s="101"/>
      <c r="SWB12" s="101"/>
      <c r="SWC12" s="101"/>
      <c r="SWD12" s="101"/>
      <c r="SWE12" s="101"/>
      <c r="SWF12" s="101"/>
      <c r="SWG12" s="101"/>
      <c r="SWH12" s="101"/>
      <c r="SWI12" s="101"/>
      <c r="SWJ12" s="101"/>
      <c r="SWK12" s="101"/>
      <c r="SWL12" s="101"/>
      <c r="SWM12" s="101"/>
      <c r="SWN12" s="101"/>
      <c r="SWO12" s="101"/>
      <c r="SWP12" s="101"/>
      <c r="SWQ12" s="101"/>
      <c r="SWR12" s="101"/>
      <c r="SWS12" s="101"/>
      <c r="SWT12" s="101"/>
      <c r="SWU12" s="101"/>
      <c r="SWV12" s="101"/>
      <c r="SWW12" s="101"/>
      <c r="SWX12" s="101"/>
      <c r="SWY12" s="101"/>
      <c r="SWZ12" s="101"/>
      <c r="SXA12" s="101"/>
      <c r="SXB12" s="101"/>
      <c r="SXC12" s="101"/>
      <c r="SXD12" s="101"/>
      <c r="SXE12" s="101"/>
      <c r="SXF12" s="101"/>
      <c r="SXG12" s="101"/>
      <c r="SXH12" s="101"/>
      <c r="SXI12" s="101"/>
      <c r="SXJ12" s="101"/>
      <c r="SXK12" s="101"/>
      <c r="SXL12" s="101"/>
      <c r="SXM12" s="101"/>
      <c r="SXN12" s="101"/>
      <c r="SXO12" s="101"/>
      <c r="SXP12" s="101"/>
      <c r="SXQ12" s="101"/>
      <c r="SXR12" s="101"/>
      <c r="SXS12" s="101"/>
      <c r="SXT12" s="101"/>
      <c r="SXU12" s="101"/>
      <c r="SXV12" s="101"/>
      <c r="SXW12" s="101"/>
      <c r="SXX12" s="101"/>
      <c r="SXY12" s="101"/>
      <c r="SXZ12" s="101"/>
      <c r="SYA12" s="101"/>
      <c r="SYB12" s="101"/>
      <c r="SYC12" s="101"/>
      <c r="SYD12" s="101"/>
      <c r="SYE12" s="101"/>
      <c r="SYF12" s="101"/>
      <c r="SYG12" s="101"/>
      <c r="SYH12" s="101"/>
      <c r="SYI12" s="101"/>
      <c r="SYJ12" s="101"/>
      <c r="SYK12" s="101"/>
      <c r="SYL12" s="101"/>
      <c r="SYM12" s="101"/>
      <c r="SYN12" s="101"/>
      <c r="SYO12" s="101"/>
      <c r="SYP12" s="101"/>
      <c r="SYQ12" s="101"/>
      <c r="SYR12" s="101"/>
      <c r="SYS12" s="101"/>
      <c r="SYT12" s="101"/>
      <c r="SYU12" s="101"/>
      <c r="SYV12" s="101"/>
      <c r="SYW12" s="101"/>
      <c r="SYX12" s="101"/>
      <c r="SYY12" s="101"/>
      <c r="SYZ12" s="101"/>
      <c r="SZA12" s="101"/>
      <c r="SZB12" s="101"/>
      <c r="SZC12" s="101"/>
      <c r="SZD12" s="101"/>
      <c r="SZE12" s="101"/>
      <c r="SZF12" s="101"/>
      <c r="SZG12" s="101"/>
      <c r="SZH12" s="101"/>
      <c r="SZI12" s="101"/>
      <c r="SZJ12" s="101"/>
      <c r="SZK12" s="101"/>
      <c r="SZL12" s="101"/>
      <c r="SZM12" s="101"/>
      <c r="SZN12" s="101"/>
      <c r="SZO12" s="101"/>
      <c r="SZP12" s="101"/>
      <c r="SZQ12" s="101"/>
      <c r="SZR12" s="101"/>
      <c r="SZS12" s="101"/>
      <c r="SZT12" s="101"/>
      <c r="SZU12" s="101"/>
      <c r="SZV12" s="101"/>
      <c r="SZW12" s="101"/>
      <c r="SZX12" s="101"/>
      <c r="SZY12" s="101"/>
      <c r="SZZ12" s="101"/>
      <c r="TAA12" s="101"/>
      <c r="TAB12" s="101"/>
      <c r="TAC12" s="101"/>
      <c r="TAD12" s="101"/>
      <c r="TAE12" s="101"/>
      <c r="TAF12" s="101"/>
      <c r="TAG12" s="101"/>
      <c r="TAH12" s="101"/>
      <c r="TAI12" s="101"/>
      <c r="TAJ12" s="101"/>
      <c r="TAK12" s="101"/>
      <c r="TAL12" s="101"/>
      <c r="TAM12" s="101"/>
      <c r="TAN12" s="101"/>
      <c r="TAO12" s="101"/>
      <c r="TAP12" s="101"/>
      <c r="TAQ12" s="101"/>
      <c r="TAR12" s="101"/>
      <c r="TAS12" s="101"/>
      <c r="TAT12" s="101"/>
      <c r="TAU12" s="101"/>
      <c r="TAV12" s="101"/>
      <c r="TAW12" s="101"/>
      <c r="TAX12" s="101"/>
      <c r="TAY12" s="101"/>
      <c r="TAZ12" s="101"/>
      <c r="TBA12" s="101"/>
      <c r="TBB12" s="101"/>
      <c r="TBC12" s="101"/>
      <c r="TBD12" s="101"/>
      <c r="TBE12" s="101"/>
      <c r="TBF12" s="101"/>
      <c r="TBG12" s="101"/>
      <c r="TBH12" s="101"/>
      <c r="TBI12" s="101"/>
      <c r="TBJ12" s="101"/>
      <c r="TBK12" s="101"/>
      <c r="TBL12" s="101"/>
      <c r="TBM12" s="101"/>
      <c r="TBN12" s="101"/>
      <c r="TBO12" s="101"/>
      <c r="TBP12" s="101"/>
      <c r="TBQ12" s="101"/>
      <c r="TBR12" s="101"/>
      <c r="TBS12" s="101"/>
      <c r="TBT12" s="101"/>
      <c r="TBU12" s="101"/>
      <c r="TBV12" s="101"/>
      <c r="TBW12" s="101"/>
      <c r="TBX12" s="101"/>
      <c r="TBY12" s="101"/>
      <c r="TBZ12" s="101"/>
      <c r="TCA12" s="101"/>
      <c r="TCB12" s="101"/>
      <c r="TCC12" s="101"/>
      <c r="TCD12" s="101"/>
      <c r="TCE12" s="101"/>
      <c r="TCF12" s="101"/>
      <c r="TCG12" s="101"/>
      <c r="TCH12" s="101"/>
      <c r="TCI12" s="101"/>
      <c r="TCJ12" s="101"/>
      <c r="TCK12" s="101"/>
      <c r="TCL12" s="101"/>
      <c r="TCM12" s="101"/>
      <c r="TCN12" s="101"/>
      <c r="TCO12" s="101"/>
      <c r="TCP12" s="101"/>
      <c r="TCQ12" s="101"/>
      <c r="TCR12" s="101"/>
      <c r="TCS12" s="101"/>
      <c r="TCT12" s="101"/>
      <c r="TCU12" s="101"/>
      <c r="TCV12" s="101"/>
      <c r="TCW12" s="101"/>
      <c r="TCX12" s="101"/>
      <c r="TCY12" s="101"/>
      <c r="TCZ12" s="101"/>
      <c r="TDA12" s="101"/>
      <c r="TDB12" s="101"/>
      <c r="TDC12" s="101"/>
      <c r="TDD12" s="101"/>
      <c r="TDE12" s="101"/>
      <c r="TDF12" s="101"/>
      <c r="TDG12" s="101"/>
      <c r="TDH12" s="101"/>
      <c r="TDI12" s="101"/>
      <c r="TDJ12" s="101"/>
      <c r="TDK12" s="101"/>
      <c r="TDL12" s="101"/>
      <c r="TDM12" s="101"/>
      <c r="TDN12" s="101"/>
      <c r="TDO12" s="101"/>
      <c r="TDP12" s="101"/>
      <c r="TDQ12" s="101"/>
      <c r="TDR12" s="101"/>
      <c r="TDS12" s="101"/>
      <c r="TDT12" s="101"/>
      <c r="TDU12" s="101"/>
      <c r="TDV12" s="101"/>
      <c r="TDW12" s="101"/>
      <c r="TDX12" s="101"/>
      <c r="TDY12" s="101"/>
      <c r="TDZ12" s="101"/>
      <c r="TEA12" s="101"/>
      <c r="TEB12" s="101"/>
      <c r="TEC12" s="101"/>
      <c r="TED12" s="101"/>
      <c r="TEE12" s="101"/>
      <c r="TEF12" s="101"/>
      <c r="TEG12" s="101"/>
      <c r="TEH12" s="101"/>
      <c r="TEI12" s="101"/>
      <c r="TEJ12" s="101"/>
      <c r="TEK12" s="101"/>
      <c r="TEL12" s="101"/>
      <c r="TEM12" s="101"/>
      <c r="TEN12" s="101"/>
      <c r="TEO12" s="101"/>
      <c r="TEP12" s="101"/>
      <c r="TEQ12" s="101"/>
      <c r="TER12" s="101"/>
      <c r="TES12" s="101"/>
      <c r="TET12" s="101"/>
      <c r="TEU12" s="101"/>
      <c r="TEV12" s="101"/>
      <c r="TEW12" s="101"/>
      <c r="TEX12" s="101"/>
      <c r="TEY12" s="101"/>
      <c r="TEZ12" s="101"/>
      <c r="TFA12" s="101"/>
      <c r="TFB12" s="101"/>
      <c r="TFC12" s="101"/>
      <c r="TFD12" s="101"/>
      <c r="TFE12" s="101"/>
      <c r="TFF12" s="101"/>
      <c r="TFG12" s="101"/>
      <c r="TFH12" s="101"/>
      <c r="TFI12" s="101"/>
      <c r="TFJ12" s="101"/>
      <c r="TFK12" s="101"/>
      <c r="TFL12" s="101"/>
      <c r="TFM12" s="101"/>
      <c r="TFN12" s="101"/>
      <c r="TFO12" s="101"/>
      <c r="TFP12" s="101"/>
      <c r="TFQ12" s="101"/>
      <c r="TFR12" s="101"/>
      <c r="TFS12" s="101"/>
      <c r="TFT12" s="101"/>
      <c r="TFU12" s="101"/>
      <c r="TFV12" s="101"/>
      <c r="TFW12" s="101"/>
      <c r="TFX12" s="101"/>
      <c r="TFY12" s="101"/>
      <c r="TFZ12" s="101"/>
      <c r="TGA12" s="101"/>
      <c r="TGB12" s="101"/>
      <c r="TGC12" s="101"/>
      <c r="TGD12" s="101"/>
      <c r="TGE12" s="101"/>
      <c r="TGF12" s="101"/>
      <c r="TGG12" s="101"/>
      <c r="TGH12" s="101"/>
      <c r="TGI12" s="101"/>
      <c r="TGJ12" s="101"/>
      <c r="TGK12" s="101"/>
      <c r="TGL12" s="101"/>
      <c r="TGM12" s="101"/>
      <c r="TGN12" s="101"/>
      <c r="TGO12" s="101"/>
      <c r="TGP12" s="101"/>
      <c r="TGQ12" s="101"/>
      <c r="TGR12" s="101"/>
      <c r="TGS12" s="101"/>
      <c r="TGT12" s="101"/>
      <c r="TGU12" s="101"/>
      <c r="TGV12" s="101"/>
      <c r="TGW12" s="101"/>
      <c r="TGX12" s="101"/>
      <c r="TGY12" s="101"/>
      <c r="TGZ12" s="101"/>
      <c r="THA12" s="101"/>
      <c r="THB12" s="101"/>
      <c r="THC12" s="101"/>
      <c r="THD12" s="101"/>
      <c r="THE12" s="101"/>
      <c r="THF12" s="101"/>
      <c r="THG12" s="101"/>
      <c r="THH12" s="101"/>
      <c r="THI12" s="101"/>
      <c r="THJ12" s="101"/>
      <c r="THK12" s="101"/>
      <c r="THL12" s="101"/>
      <c r="THM12" s="101"/>
      <c r="THN12" s="101"/>
      <c r="THO12" s="101"/>
      <c r="THP12" s="101"/>
      <c r="THQ12" s="101"/>
      <c r="THR12" s="101"/>
      <c r="THS12" s="101"/>
      <c r="THT12" s="101"/>
      <c r="THU12" s="101"/>
      <c r="THV12" s="101"/>
      <c r="THW12" s="101"/>
      <c r="THX12" s="101"/>
      <c r="THY12" s="101"/>
      <c r="THZ12" s="101"/>
      <c r="TIA12" s="101"/>
      <c r="TIB12" s="101"/>
      <c r="TIC12" s="101"/>
      <c r="TID12" s="101"/>
      <c r="TIE12" s="101"/>
      <c r="TIF12" s="101"/>
      <c r="TIG12" s="101"/>
      <c r="TIH12" s="101"/>
      <c r="TII12" s="101"/>
      <c r="TIJ12" s="101"/>
      <c r="TIK12" s="101"/>
      <c r="TIL12" s="101"/>
      <c r="TIM12" s="101"/>
      <c r="TIN12" s="101"/>
      <c r="TIO12" s="101"/>
      <c r="TIP12" s="101"/>
      <c r="TIQ12" s="101"/>
      <c r="TIR12" s="101"/>
      <c r="TIS12" s="101"/>
      <c r="TIT12" s="101"/>
      <c r="TIU12" s="101"/>
      <c r="TIV12" s="101"/>
      <c r="TIW12" s="101"/>
      <c r="TIX12" s="101"/>
      <c r="TIY12" s="101"/>
      <c r="TIZ12" s="101"/>
      <c r="TJA12" s="101"/>
      <c r="TJB12" s="101"/>
      <c r="TJC12" s="101"/>
      <c r="TJD12" s="101"/>
      <c r="TJE12" s="101"/>
      <c r="TJF12" s="101"/>
      <c r="TJG12" s="101"/>
      <c r="TJH12" s="101"/>
      <c r="TJI12" s="101"/>
      <c r="TJJ12" s="101"/>
      <c r="TJK12" s="101"/>
      <c r="TJL12" s="101"/>
      <c r="TJM12" s="101"/>
      <c r="TJN12" s="101"/>
      <c r="TJO12" s="101"/>
      <c r="TJP12" s="101"/>
      <c r="TJQ12" s="101"/>
      <c r="TJR12" s="101"/>
      <c r="TJS12" s="101"/>
      <c r="TJT12" s="101"/>
      <c r="TJU12" s="101"/>
      <c r="TJV12" s="101"/>
      <c r="TJW12" s="101"/>
      <c r="TJX12" s="101"/>
      <c r="TJY12" s="101"/>
      <c r="TJZ12" s="101"/>
      <c r="TKA12" s="101"/>
      <c r="TKB12" s="101"/>
      <c r="TKC12" s="101"/>
      <c r="TKD12" s="101"/>
      <c r="TKE12" s="101"/>
      <c r="TKF12" s="101"/>
      <c r="TKG12" s="101"/>
      <c r="TKH12" s="101"/>
      <c r="TKI12" s="101"/>
      <c r="TKJ12" s="101"/>
      <c r="TKK12" s="101"/>
      <c r="TKL12" s="101"/>
      <c r="TKM12" s="101"/>
      <c r="TKN12" s="101"/>
      <c r="TKO12" s="101"/>
      <c r="TKP12" s="101"/>
      <c r="TKQ12" s="101"/>
      <c r="TKR12" s="101"/>
      <c r="TKS12" s="101"/>
      <c r="TKT12" s="101"/>
      <c r="TKU12" s="101"/>
      <c r="TKV12" s="101"/>
      <c r="TKW12" s="101"/>
      <c r="TKX12" s="101"/>
      <c r="TKY12" s="101"/>
      <c r="TKZ12" s="101"/>
      <c r="TLA12" s="101"/>
      <c r="TLB12" s="101"/>
      <c r="TLC12" s="101"/>
      <c r="TLD12" s="101"/>
      <c r="TLE12" s="101"/>
      <c r="TLF12" s="101"/>
      <c r="TLG12" s="101"/>
      <c r="TLH12" s="101"/>
      <c r="TLI12" s="101"/>
      <c r="TLJ12" s="101"/>
      <c r="TLK12" s="101"/>
      <c r="TLL12" s="101"/>
      <c r="TLM12" s="101"/>
      <c r="TLN12" s="101"/>
      <c r="TLO12" s="101"/>
      <c r="TLP12" s="101"/>
      <c r="TLQ12" s="101"/>
      <c r="TLR12" s="101"/>
      <c r="TLS12" s="101"/>
      <c r="TLT12" s="101"/>
      <c r="TLU12" s="101"/>
      <c r="TLV12" s="101"/>
      <c r="TLW12" s="101"/>
      <c r="TLX12" s="101"/>
      <c r="TLY12" s="101"/>
      <c r="TLZ12" s="101"/>
      <c r="TMA12" s="101"/>
      <c r="TMB12" s="101"/>
      <c r="TMC12" s="101"/>
      <c r="TMD12" s="101"/>
      <c r="TME12" s="101"/>
      <c r="TMF12" s="101"/>
      <c r="TMG12" s="101"/>
      <c r="TMH12" s="101"/>
      <c r="TMI12" s="101"/>
      <c r="TMJ12" s="101"/>
      <c r="TMK12" s="101"/>
      <c r="TML12" s="101"/>
      <c r="TMM12" s="101"/>
      <c r="TMN12" s="101"/>
      <c r="TMO12" s="101"/>
      <c r="TMP12" s="101"/>
      <c r="TMQ12" s="101"/>
      <c r="TMR12" s="101"/>
      <c r="TMS12" s="101"/>
      <c r="TMT12" s="101"/>
      <c r="TMU12" s="101"/>
      <c r="TMV12" s="101"/>
      <c r="TMW12" s="101"/>
      <c r="TMX12" s="101"/>
      <c r="TMY12" s="101"/>
      <c r="TMZ12" s="101"/>
      <c r="TNA12" s="101"/>
      <c r="TNB12" s="101"/>
      <c r="TNC12" s="101"/>
      <c r="TND12" s="101"/>
      <c r="TNE12" s="101"/>
      <c r="TNF12" s="101"/>
      <c r="TNG12" s="101"/>
      <c r="TNH12" s="101"/>
      <c r="TNI12" s="101"/>
      <c r="TNJ12" s="101"/>
      <c r="TNK12" s="101"/>
      <c r="TNL12" s="101"/>
      <c r="TNM12" s="101"/>
      <c r="TNN12" s="101"/>
      <c r="TNO12" s="101"/>
      <c r="TNP12" s="101"/>
      <c r="TNQ12" s="101"/>
      <c r="TNR12" s="101"/>
      <c r="TNS12" s="101"/>
      <c r="TNT12" s="101"/>
      <c r="TNU12" s="101"/>
      <c r="TNV12" s="101"/>
      <c r="TNW12" s="101"/>
      <c r="TNX12" s="101"/>
      <c r="TNY12" s="101"/>
      <c r="TNZ12" s="101"/>
      <c r="TOA12" s="101"/>
      <c r="TOB12" s="101"/>
      <c r="TOC12" s="101"/>
      <c r="TOD12" s="101"/>
      <c r="TOE12" s="101"/>
      <c r="TOF12" s="101"/>
      <c r="TOG12" s="101"/>
      <c r="TOH12" s="101"/>
      <c r="TOI12" s="101"/>
      <c r="TOJ12" s="101"/>
      <c r="TOK12" s="101"/>
      <c r="TOL12" s="101"/>
      <c r="TOM12" s="101"/>
      <c r="TON12" s="101"/>
      <c r="TOO12" s="101"/>
      <c r="TOP12" s="101"/>
      <c r="TOQ12" s="101"/>
      <c r="TOR12" s="101"/>
      <c r="TOS12" s="101"/>
      <c r="TOT12" s="101"/>
      <c r="TOU12" s="101"/>
      <c r="TOV12" s="101"/>
      <c r="TOW12" s="101"/>
      <c r="TOX12" s="101"/>
      <c r="TOY12" s="101"/>
      <c r="TOZ12" s="101"/>
      <c r="TPA12" s="101"/>
      <c r="TPB12" s="101"/>
      <c r="TPC12" s="101"/>
      <c r="TPD12" s="101"/>
      <c r="TPE12" s="101"/>
      <c r="TPF12" s="101"/>
      <c r="TPG12" s="101"/>
      <c r="TPH12" s="101"/>
      <c r="TPI12" s="101"/>
      <c r="TPJ12" s="101"/>
      <c r="TPK12" s="101"/>
      <c r="TPL12" s="101"/>
      <c r="TPM12" s="101"/>
      <c r="TPN12" s="101"/>
      <c r="TPO12" s="101"/>
      <c r="TPP12" s="101"/>
      <c r="TPQ12" s="101"/>
      <c r="TPR12" s="101"/>
      <c r="TPS12" s="101"/>
      <c r="TPT12" s="101"/>
      <c r="TPU12" s="101"/>
      <c r="TPV12" s="101"/>
      <c r="TPW12" s="101"/>
      <c r="TPX12" s="101"/>
      <c r="TPY12" s="101"/>
      <c r="TPZ12" s="101"/>
      <c r="TQA12" s="101"/>
      <c r="TQB12" s="101"/>
      <c r="TQC12" s="101"/>
      <c r="TQD12" s="101"/>
      <c r="TQE12" s="101"/>
      <c r="TQF12" s="101"/>
      <c r="TQG12" s="101"/>
      <c r="TQH12" s="101"/>
      <c r="TQI12" s="101"/>
      <c r="TQJ12" s="101"/>
      <c r="TQK12" s="101"/>
      <c r="TQL12" s="101"/>
      <c r="TQM12" s="101"/>
      <c r="TQN12" s="101"/>
      <c r="TQO12" s="101"/>
      <c r="TQP12" s="101"/>
      <c r="TQQ12" s="101"/>
      <c r="TQR12" s="101"/>
      <c r="TQS12" s="101"/>
      <c r="TQT12" s="101"/>
      <c r="TQU12" s="101"/>
      <c r="TQV12" s="101"/>
      <c r="TQW12" s="101"/>
      <c r="TQX12" s="101"/>
      <c r="TQY12" s="101"/>
      <c r="TQZ12" s="101"/>
      <c r="TRA12" s="101"/>
      <c r="TRB12" s="101"/>
      <c r="TRC12" s="101"/>
      <c r="TRD12" s="101"/>
      <c r="TRE12" s="101"/>
      <c r="TRF12" s="101"/>
      <c r="TRG12" s="101"/>
      <c r="TRH12" s="101"/>
      <c r="TRI12" s="101"/>
      <c r="TRJ12" s="101"/>
      <c r="TRK12" s="101"/>
      <c r="TRL12" s="101"/>
      <c r="TRM12" s="101"/>
      <c r="TRN12" s="101"/>
      <c r="TRO12" s="101"/>
      <c r="TRP12" s="101"/>
      <c r="TRQ12" s="101"/>
      <c r="TRR12" s="101"/>
      <c r="TRS12" s="101"/>
      <c r="TRT12" s="101"/>
      <c r="TRU12" s="101"/>
      <c r="TRV12" s="101"/>
      <c r="TRW12" s="101"/>
      <c r="TRX12" s="101"/>
      <c r="TRY12" s="101"/>
      <c r="TRZ12" s="101"/>
      <c r="TSA12" s="101"/>
      <c r="TSB12" s="101"/>
      <c r="TSC12" s="101"/>
      <c r="TSD12" s="101"/>
      <c r="TSE12" s="101"/>
      <c r="TSF12" s="101"/>
      <c r="TSG12" s="101"/>
      <c r="TSH12" s="101"/>
      <c r="TSI12" s="101"/>
      <c r="TSJ12" s="101"/>
      <c r="TSK12" s="101"/>
      <c r="TSL12" s="101"/>
      <c r="TSM12" s="101"/>
      <c r="TSN12" s="101"/>
      <c r="TSO12" s="101"/>
      <c r="TSP12" s="101"/>
      <c r="TSQ12" s="101"/>
      <c r="TSR12" s="101"/>
      <c r="TSS12" s="101"/>
      <c r="TST12" s="101"/>
      <c r="TSU12" s="101"/>
      <c r="TSV12" s="101"/>
      <c r="TSW12" s="101"/>
      <c r="TSX12" s="101"/>
      <c r="TSY12" s="101"/>
      <c r="TSZ12" s="101"/>
      <c r="TTA12" s="101"/>
      <c r="TTB12" s="101"/>
      <c r="TTC12" s="101"/>
      <c r="TTD12" s="101"/>
      <c r="TTE12" s="101"/>
      <c r="TTF12" s="101"/>
      <c r="TTG12" s="101"/>
      <c r="TTH12" s="101"/>
      <c r="TTI12" s="101"/>
      <c r="TTJ12" s="101"/>
      <c r="TTK12" s="101"/>
      <c r="TTL12" s="101"/>
      <c r="TTM12" s="101"/>
      <c r="TTN12" s="101"/>
      <c r="TTO12" s="101"/>
      <c r="TTP12" s="101"/>
      <c r="TTQ12" s="101"/>
      <c r="TTR12" s="101"/>
      <c r="TTS12" s="101"/>
      <c r="TTT12" s="101"/>
      <c r="TTU12" s="101"/>
      <c r="TTV12" s="101"/>
      <c r="TTW12" s="101"/>
      <c r="TTX12" s="101"/>
      <c r="TTY12" s="101"/>
      <c r="TTZ12" s="101"/>
      <c r="TUA12" s="101"/>
      <c r="TUB12" s="101"/>
      <c r="TUC12" s="101"/>
      <c r="TUD12" s="101"/>
      <c r="TUE12" s="101"/>
      <c r="TUF12" s="101"/>
      <c r="TUG12" s="101"/>
      <c r="TUH12" s="101"/>
      <c r="TUI12" s="101"/>
      <c r="TUJ12" s="101"/>
      <c r="TUK12" s="101"/>
      <c r="TUL12" s="101"/>
      <c r="TUM12" s="101"/>
      <c r="TUN12" s="101"/>
      <c r="TUO12" s="101"/>
      <c r="TUP12" s="101"/>
      <c r="TUQ12" s="101"/>
      <c r="TUR12" s="101"/>
      <c r="TUS12" s="101"/>
      <c r="TUT12" s="101"/>
      <c r="TUU12" s="101"/>
      <c r="TUV12" s="101"/>
      <c r="TUW12" s="101"/>
      <c r="TUX12" s="101"/>
      <c r="TUY12" s="101"/>
      <c r="TUZ12" s="101"/>
      <c r="TVA12" s="101"/>
      <c r="TVB12" s="101"/>
      <c r="TVC12" s="101"/>
      <c r="TVD12" s="101"/>
      <c r="TVE12" s="101"/>
      <c r="TVF12" s="101"/>
      <c r="TVG12" s="101"/>
      <c r="TVH12" s="101"/>
      <c r="TVI12" s="101"/>
      <c r="TVJ12" s="101"/>
      <c r="TVK12" s="101"/>
      <c r="TVL12" s="101"/>
      <c r="TVM12" s="101"/>
      <c r="TVN12" s="101"/>
      <c r="TVO12" s="101"/>
      <c r="TVP12" s="101"/>
      <c r="TVQ12" s="101"/>
      <c r="TVR12" s="101"/>
      <c r="TVS12" s="101"/>
      <c r="TVT12" s="101"/>
      <c r="TVU12" s="101"/>
      <c r="TVV12" s="101"/>
      <c r="TVW12" s="101"/>
      <c r="TVX12" s="101"/>
      <c r="TVY12" s="101"/>
      <c r="TVZ12" s="101"/>
      <c r="TWA12" s="101"/>
      <c r="TWB12" s="101"/>
      <c r="TWC12" s="101"/>
      <c r="TWD12" s="101"/>
      <c r="TWE12" s="101"/>
      <c r="TWF12" s="101"/>
      <c r="TWG12" s="101"/>
      <c r="TWH12" s="101"/>
      <c r="TWI12" s="101"/>
      <c r="TWJ12" s="101"/>
      <c r="TWK12" s="101"/>
      <c r="TWL12" s="101"/>
      <c r="TWM12" s="101"/>
      <c r="TWN12" s="101"/>
      <c r="TWO12" s="101"/>
      <c r="TWP12" s="101"/>
      <c r="TWQ12" s="101"/>
      <c r="TWR12" s="101"/>
      <c r="TWS12" s="101"/>
      <c r="TWT12" s="101"/>
      <c r="TWU12" s="101"/>
      <c r="TWV12" s="101"/>
      <c r="TWW12" s="101"/>
      <c r="TWX12" s="101"/>
      <c r="TWY12" s="101"/>
      <c r="TWZ12" s="101"/>
      <c r="TXA12" s="101"/>
      <c r="TXB12" s="101"/>
      <c r="TXC12" s="101"/>
      <c r="TXD12" s="101"/>
      <c r="TXE12" s="101"/>
      <c r="TXF12" s="101"/>
      <c r="TXG12" s="101"/>
      <c r="TXH12" s="101"/>
      <c r="TXI12" s="101"/>
      <c r="TXJ12" s="101"/>
      <c r="TXK12" s="101"/>
      <c r="TXL12" s="101"/>
      <c r="TXM12" s="101"/>
      <c r="TXN12" s="101"/>
      <c r="TXO12" s="101"/>
      <c r="TXP12" s="101"/>
      <c r="TXQ12" s="101"/>
      <c r="TXR12" s="101"/>
      <c r="TXS12" s="101"/>
      <c r="TXT12" s="101"/>
      <c r="TXU12" s="101"/>
      <c r="TXV12" s="101"/>
      <c r="TXW12" s="101"/>
      <c r="TXX12" s="101"/>
      <c r="TXY12" s="101"/>
      <c r="TXZ12" s="101"/>
      <c r="TYA12" s="101"/>
      <c r="TYB12" s="101"/>
      <c r="TYC12" s="101"/>
      <c r="TYD12" s="101"/>
      <c r="TYE12" s="101"/>
      <c r="TYF12" s="101"/>
      <c r="TYG12" s="101"/>
      <c r="TYH12" s="101"/>
      <c r="TYI12" s="101"/>
      <c r="TYJ12" s="101"/>
      <c r="TYK12" s="101"/>
      <c r="TYL12" s="101"/>
      <c r="TYM12" s="101"/>
      <c r="TYN12" s="101"/>
      <c r="TYO12" s="101"/>
      <c r="TYP12" s="101"/>
      <c r="TYQ12" s="101"/>
      <c r="TYR12" s="101"/>
      <c r="TYS12" s="101"/>
      <c r="TYT12" s="101"/>
      <c r="TYU12" s="101"/>
      <c r="TYV12" s="101"/>
      <c r="TYW12" s="101"/>
      <c r="TYX12" s="101"/>
      <c r="TYY12" s="101"/>
      <c r="TYZ12" s="101"/>
      <c r="TZA12" s="101"/>
      <c r="TZB12" s="101"/>
      <c r="TZC12" s="101"/>
      <c r="TZD12" s="101"/>
      <c r="TZE12" s="101"/>
      <c r="TZF12" s="101"/>
      <c r="TZG12" s="101"/>
      <c r="TZH12" s="101"/>
      <c r="TZI12" s="101"/>
      <c r="TZJ12" s="101"/>
      <c r="TZK12" s="101"/>
      <c r="TZL12" s="101"/>
      <c r="TZM12" s="101"/>
      <c r="TZN12" s="101"/>
      <c r="TZO12" s="101"/>
      <c r="TZP12" s="101"/>
      <c r="TZQ12" s="101"/>
      <c r="TZR12" s="101"/>
      <c r="TZS12" s="101"/>
      <c r="TZT12" s="101"/>
      <c r="TZU12" s="101"/>
      <c r="TZV12" s="101"/>
      <c r="TZW12" s="101"/>
      <c r="TZX12" s="101"/>
      <c r="TZY12" s="101"/>
      <c r="TZZ12" s="101"/>
      <c r="UAA12" s="101"/>
      <c r="UAB12" s="101"/>
      <c r="UAC12" s="101"/>
      <c r="UAD12" s="101"/>
      <c r="UAE12" s="101"/>
      <c r="UAF12" s="101"/>
      <c r="UAG12" s="101"/>
      <c r="UAH12" s="101"/>
      <c r="UAI12" s="101"/>
      <c r="UAJ12" s="101"/>
      <c r="UAK12" s="101"/>
      <c r="UAL12" s="101"/>
      <c r="UAM12" s="101"/>
      <c r="UAN12" s="101"/>
      <c r="UAO12" s="101"/>
      <c r="UAP12" s="101"/>
      <c r="UAQ12" s="101"/>
      <c r="UAR12" s="101"/>
      <c r="UAS12" s="101"/>
      <c r="UAT12" s="101"/>
      <c r="UAU12" s="101"/>
      <c r="UAV12" s="101"/>
      <c r="UAW12" s="101"/>
      <c r="UAX12" s="101"/>
      <c r="UAY12" s="101"/>
      <c r="UAZ12" s="101"/>
      <c r="UBA12" s="101"/>
      <c r="UBB12" s="101"/>
      <c r="UBC12" s="101"/>
      <c r="UBD12" s="101"/>
      <c r="UBE12" s="101"/>
      <c r="UBF12" s="101"/>
      <c r="UBG12" s="101"/>
      <c r="UBH12" s="101"/>
      <c r="UBI12" s="101"/>
      <c r="UBJ12" s="101"/>
      <c r="UBK12" s="101"/>
      <c r="UBL12" s="101"/>
      <c r="UBM12" s="101"/>
      <c r="UBN12" s="101"/>
      <c r="UBO12" s="101"/>
      <c r="UBP12" s="101"/>
      <c r="UBQ12" s="101"/>
      <c r="UBR12" s="101"/>
      <c r="UBS12" s="101"/>
      <c r="UBT12" s="101"/>
      <c r="UBU12" s="101"/>
      <c r="UBV12" s="101"/>
      <c r="UBW12" s="101"/>
      <c r="UBX12" s="101"/>
      <c r="UBY12" s="101"/>
      <c r="UBZ12" s="101"/>
      <c r="UCA12" s="101"/>
      <c r="UCB12" s="101"/>
      <c r="UCC12" s="101"/>
      <c r="UCD12" s="101"/>
      <c r="UCE12" s="101"/>
      <c r="UCF12" s="101"/>
      <c r="UCG12" s="101"/>
      <c r="UCH12" s="101"/>
      <c r="UCI12" s="101"/>
      <c r="UCJ12" s="101"/>
      <c r="UCK12" s="101"/>
      <c r="UCL12" s="101"/>
      <c r="UCM12" s="101"/>
      <c r="UCN12" s="101"/>
      <c r="UCO12" s="101"/>
      <c r="UCP12" s="101"/>
      <c r="UCQ12" s="101"/>
      <c r="UCR12" s="101"/>
      <c r="UCS12" s="101"/>
      <c r="UCT12" s="101"/>
      <c r="UCU12" s="101"/>
      <c r="UCV12" s="101"/>
      <c r="UCW12" s="101"/>
      <c r="UCX12" s="101"/>
      <c r="UCY12" s="101"/>
      <c r="UCZ12" s="101"/>
      <c r="UDA12" s="101"/>
      <c r="UDB12" s="101"/>
      <c r="UDC12" s="101"/>
      <c r="UDD12" s="101"/>
      <c r="UDE12" s="101"/>
      <c r="UDF12" s="101"/>
      <c r="UDG12" s="101"/>
      <c r="UDH12" s="101"/>
      <c r="UDI12" s="101"/>
      <c r="UDJ12" s="101"/>
      <c r="UDK12" s="101"/>
      <c r="UDL12" s="101"/>
      <c r="UDM12" s="101"/>
      <c r="UDN12" s="101"/>
      <c r="UDO12" s="101"/>
      <c r="UDP12" s="101"/>
      <c r="UDQ12" s="101"/>
      <c r="UDR12" s="101"/>
      <c r="UDS12" s="101"/>
      <c r="UDT12" s="101"/>
      <c r="UDU12" s="101"/>
      <c r="UDV12" s="101"/>
      <c r="UDW12" s="101"/>
      <c r="UDX12" s="101"/>
      <c r="UDY12" s="101"/>
      <c r="UDZ12" s="101"/>
      <c r="UEA12" s="101"/>
      <c r="UEB12" s="101"/>
      <c r="UEC12" s="101"/>
      <c r="UED12" s="101"/>
      <c r="UEE12" s="101"/>
      <c r="UEF12" s="101"/>
      <c r="UEG12" s="101"/>
      <c r="UEH12" s="101"/>
      <c r="UEI12" s="101"/>
      <c r="UEJ12" s="101"/>
      <c r="UEK12" s="101"/>
      <c r="UEL12" s="101"/>
      <c r="UEM12" s="101"/>
      <c r="UEN12" s="101"/>
      <c r="UEO12" s="101"/>
      <c r="UEP12" s="101"/>
      <c r="UEQ12" s="101"/>
      <c r="UER12" s="101"/>
      <c r="UES12" s="101"/>
      <c r="UET12" s="101"/>
      <c r="UEU12" s="101"/>
      <c r="UEV12" s="101"/>
      <c r="UEW12" s="101"/>
      <c r="UEX12" s="101"/>
      <c r="UEY12" s="101"/>
      <c r="UEZ12" s="101"/>
      <c r="UFA12" s="101"/>
      <c r="UFB12" s="101"/>
      <c r="UFC12" s="101"/>
      <c r="UFD12" s="101"/>
      <c r="UFE12" s="101"/>
      <c r="UFF12" s="101"/>
      <c r="UFG12" s="101"/>
      <c r="UFH12" s="101"/>
      <c r="UFI12" s="101"/>
      <c r="UFJ12" s="101"/>
      <c r="UFK12" s="101"/>
      <c r="UFL12" s="101"/>
      <c r="UFM12" s="101"/>
      <c r="UFN12" s="101"/>
      <c r="UFO12" s="101"/>
      <c r="UFP12" s="101"/>
      <c r="UFQ12" s="101"/>
      <c r="UFR12" s="101"/>
      <c r="UFS12" s="101"/>
      <c r="UFT12" s="101"/>
      <c r="UFU12" s="101"/>
      <c r="UFV12" s="101"/>
      <c r="UFW12" s="101"/>
      <c r="UFX12" s="101"/>
      <c r="UFY12" s="101"/>
      <c r="UFZ12" s="101"/>
      <c r="UGA12" s="101"/>
      <c r="UGB12" s="101"/>
      <c r="UGC12" s="101"/>
      <c r="UGD12" s="101"/>
      <c r="UGE12" s="101"/>
      <c r="UGF12" s="101"/>
      <c r="UGG12" s="101"/>
      <c r="UGH12" s="101"/>
      <c r="UGI12" s="101"/>
      <c r="UGJ12" s="101"/>
      <c r="UGK12" s="101"/>
      <c r="UGL12" s="101"/>
      <c r="UGM12" s="101"/>
      <c r="UGN12" s="101"/>
      <c r="UGO12" s="101"/>
      <c r="UGP12" s="101"/>
      <c r="UGQ12" s="101"/>
      <c r="UGR12" s="101"/>
      <c r="UGS12" s="101"/>
      <c r="UGT12" s="101"/>
      <c r="UGU12" s="101"/>
      <c r="UGV12" s="101"/>
      <c r="UGW12" s="101"/>
      <c r="UGX12" s="101"/>
      <c r="UGY12" s="101"/>
      <c r="UGZ12" s="101"/>
      <c r="UHA12" s="101"/>
      <c r="UHB12" s="101"/>
      <c r="UHC12" s="101"/>
      <c r="UHD12" s="101"/>
      <c r="UHE12" s="101"/>
      <c r="UHF12" s="101"/>
      <c r="UHG12" s="101"/>
      <c r="UHH12" s="101"/>
      <c r="UHI12" s="101"/>
      <c r="UHJ12" s="101"/>
      <c r="UHK12" s="101"/>
      <c r="UHL12" s="101"/>
      <c r="UHM12" s="101"/>
      <c r="UHN12" s="101"/>
      <c r="UHO12" s="101"/>
      <c r="UHP12" s="101"/>
      <c r="UHQ12" s="101"/>
      <c r="UHR12" s="101"/>
      <c r="UHS12" s="101"/>
      <c r="UHT12" s="101"/>
      <c r="UHU12" s="101"/>
      <c r="UHV12" s="101"/>
      <c r="UHW12" s="101"/>
      <c r="UHX12" s="101"/>
      <c r="UHY12" s="101"/>
      <c r="UHZ12" s="101"/>
      <c r="UIA12" s="101"/>
      <c r="UIB12" s="101"/>
      <c r="UIC12" s="101"/>
      <c r="UID12" s="101"/>
      <c r="UIE12" s="101"/>
      <c r="UIF12" s="101"/>
      <c r="UIG12" s="101"/>
      <c r="UIH12" s="101"/>
      <c r="UII12" s="101"/>
      <c r="UIJ12" s="101"/>
      <c r="UIK12" s="101"/>
      <c r="UIL12" s="101"/>
      <c r="UIM12" s="101"/>
      <c r="UIN12" s="101"/>
      <c r="UIO12" s="101"/>
      <c r="UIP12" s="101"/>
      <c r="UIQ12" s="101"/>
      <c r="UIR12" s="101"/>
      <c r="UIS12" s="101"/>
      <c r="UIT12" s="101"/>
      <c r="UIU12" s="101"/>
      <c r="UIV12" s="101"/>
      <c r="UIW12" s="101"/>
      <c r="UIX12" s="101"/>
      <c r="UIY12" s="101"/>
      <c r="UIZ12" s="101"/>
      <c r="UJA12" s="101"/>
      <c r="UJB12" s="101"/>
      <c r="UJC12" s="101"/>
      <c r="UJD12" s="101"/>
      <c r="UJE12" s="101"/>
      <c r="UJF12" s="101"/>
      <c r="UJG12" s="101"/>
      <c r="UJH12" s="101"/>
      <c r="UJI12" s="101"/>
      <c r="UJJ12" s="101"/>
      <c r="UJK12" s="101"/>
      <c r="UJL12" s="101"/>
      <c r="UJM12" s="101"/>
      <c r="UJN12" s="101"/>
      <c r="UJO12" s="101"/>
      <c r="UJP12" s="101"/>
      <c r="UJQ12" s="101"/>
      <c r="UJR12" s="101"/>
      <c r="UJS12" s="101"/>
      <c r="UJT12" s="101"/>
      <c r="UJU12" s="101"/>
      <c r="UJV12" s="101"/>
      <c r="UJW12" s="101"/>
      <c r="UJX12" s="101"/>
      <c r="UJY12" s="101"/>
      <c r="UJZ12" s="101"/>
      <c r="UKA12" s="101"/>
      <c r="UKB12" s="101"/>
      <c r="UKC12" s="101"/>
      <c r="UKD12" s="101"/>
      <c r="UKE12" s="101"/>
      <c r="UKF12" s="101"/>
      <c r="UKG12" s="101"/>
      <c r="UKH12" s="101"/>
      <c r="UKI12" s="101"/>
      <c r="UKJ12" s="101"/>
      <c r="UKK12" s="101"/>
      <c r="UKL12" s="101"/>
      <c r="UKM12" s="101"/>
      <c r="UKN12" s="101"/>
      <c r="UKO12" s="101"/>
      <c r="UKP12" s="101"/>
      <c r="UKQ12" s="101"/>
      <c r="UKR12" s="101"/>
      <c r="UKS12" s="101"/>
      <c r="UKT12" s="101"/>
      <c r="UKU12" s="101"/>
      <c r="UKV12" s="101"/>
      <c r="UKW12" s="101"/>
      <c r="UKX12" s="101"/>
      <c r="UKY12" s="101"/>
      <c r="UKZ12" s="101"/>
      <c r="ULA12" s="101"/>
      <c r="ULB12" s="101"/>
      <c r="ULC12" s="101"/>
      <c r="ULD12" s="101"/>
      <c r="ULE12" s="101"/>
      <c r="ULF12" s="101"/>
      <c r="ULG12" s="101"/>
      <c r="ULH12" s="101"/>
      <c r="ULI12" s="101"/>
      <c r="ULJ12" s="101"/>
      <c r="ULK12" s="101"/>
      <c r="ULL12" s="101"/>
      <c r="ULM12" s="101"/>
      <c r="ULN12" s="101"/>
      <c r="ULO12" s="101"/>
      <c r="ULP12" s="101"/>
      <c r="ULQ12" s="101"/>
      <c r="ULR12" s="101"/>
      <c r="ULS12" s="101"/>
      <c r="ULT12" s="101"/>
      <c r="ULU12" s="101"/>
      <c r="ULV12" s="101"/>
      <c r="ULW12" s="101"/>
      <c r="ULX12" s="101"/>
      <c r="ULY12" s="101"/>
      <c r="ULZ12" s="101"/>
      <c r="UMA12" s="101"/>
      <c r="UMB12" s="101"/>
      <c r="UMC12" s="101"/>
      <c r="UMD12" s="101"/>
      <c r="UME12" s="101"/>
      <c r="UMF12" s="101"/>
      <c r="UMG12" s="101"/>
      <c r="UMH12" s="101"/>
      <c r="UMI12" s="101"/>
      <c r="UMJ12" s="101"/>
      <c r="UMK12" s="101"/>
      <c r="UML12" s="101"/>
      <c r="UMM12" s="101"/>
      <c r="UMN12" s="101"/>
      <c r="UMO12" s="101"/>
      <c r="UMP12" s="101"/>
      <c r="UMQ12" s="101"/>
      <c r="UMR12" s="101"/>
      <c r="UMS12" s="101"/>
      <c r="UMT12" s="101"/>
      <c r="UMU12" s="101"/>
      <c r="UMV12" s="101"/>
      <c r="UMW12" s="101"/>
      <c r="UMX12" s="101"/>
      <c r="UMY12" s="101"/>
      <c r="UMZ12" s="101"/>
      <c r="UNA12" s="101"/>
      <c r="UNB12" s="101"/>
      <c r="UNC12" s="101"/>
      <c r="UND12" s="101"/>
      <c r="UNE12" s="101"/>
      <c r="UNF12" s="101"/>
      <c r="UNG12" s="101"/>
      <c r="UNH12" s="101"/>
      <c r="UNI12" s="101"/>
      <c r="UNJ12" s="101"/>
      <c r="UNK12" s="101"/>
      <c r="UNL12" s="101"/>
      <c r="UNM12" s="101"/>
      <c r="UNN12" s="101"/>
      <c r="UNO12" s="101"/>
      <c r="UNP12" s="101"/>
      <c r="UNQ12" s="101"/>
      <c r="UNR12" s="101"/>
      <c r="UNS12" s="101"/>
      <c r="UNT12" s="101"/>
      <c r="UNU12" s="101"/>
      <c r="UNV12" s="101"/>
      <c r="UNW12" s="101"/>
      <c r="UNX12" s="101"/>
      <c r="UNY12" s="101"/>
      <c r="UNZ12" s="101"/>
      <c r="UOA12" s="101"/>
      <c r="UOB12" s="101"/>
      <c r="UOC12" s="101"/>
      <c r="UOD12" s="101"/>
      <c r="UOE12" s="101"/>
      <c r="UOF12" s="101"/>
      <c r="UOG12" s="101"/>
      <c r="UOH12" s="101"/>
      <c r="UOI12" s="101"/>
      <c r="UOJ12" s="101"/>
      <c r="UOK12" s="101"/>
      <c r="UOL12" s="101"/>
      <c r="UOM12" s="101"/>
      <c r="UON12" s="101"/>
      <c r="UOO12" s="101"/>
      <c r="UOP12" s="101"/>
      <c r="UOQ12" s="101"/>
      <c r="UOR12" s="101"/>
      <c r="UOS12" s="101"/>
      <c r="UOT12" s="101"/>
      <c r="UOU12" s="101"/>
      <c r="UOV12" s="101"/>
      <c r="UOW12" s="101"/>
      <c r="UOX12" s="101"/>
      <c r="UOY12" s="101"/>
      <c r="UOZ12" s="101"/>
      <c r="UPA12" s="101"/>
      <c r="UPB12" s="101"/>
      <c r="UPC12" s="101"/>
      <c r="UPD12" s="101"/>
      <c r="UPE12" s="101"/>
      <c r="UPF12" s="101"/>
      <c r="UPG12" s="101"/>
      <c r="UPH12" s="101"/>
      <c r="UPI12" s="101"/>
      <c r="UPJ12" s="101"/>
      <c r="UPK12" s="101"/>
      <c r="UPL12" s="101"/>
      <c r="UPM12" s="101"/>
      <c r="UPN12" s="101"/>
      <c r="UPO12" s="101"/>
      <c r="UPP12" s="101"/>
      <c r="UPQ12" s="101"/>
      <c r="UPR12" s="101"/>
      <c r="UPS12" s="101"/>
      <c r="UPT12" s="101"/>
      <c r="UPU12" s="101"/>
      <c r="UPV12" s="101"/>
      <c r="UPW12" s="101"/>
      <c r="UPX12" s="101"/>
      <c r="UPY12" s="101"/>
      <c r="UPZ12" s="101"/>
      <c r="UQA12" s="101"/>
      <c r="UQB12" s="101"/>
      <c r="UQC12" s="101"/>
      <c r="UQD12" s="101"/>
      <c r="UQE12" s="101"/>
      <c r="UQF12" s="101"/>
      <c r="UQG12" s="101"/>
      <c r="UQH12" s="101"/>
      <c r="UQI12" s="101"/>
      <c r="UQJ12" s="101"/>
      <c r="UQK12" s="101"/>
      <c r="UQL12" s="101"/>
      <c r="UQM12" s="101"/>
      <c r="UQN12" s="101"/>
      <c r="UQO12" s="101"/>
      <c r="UQP12" s="101"/>
      <c r="UQQ12" s="101"/>
      <c r="UQR12" s="101"/>
      <c r="UQS12" s="101"/>
      <c r="UQT12" s="101"/>
      <c r="UQU12" s="101"/>
      <c r="UQV12" s="101"/>
      <c r="UQW12" s="101"/>
      <c r="UQX12" s="101"/>
      <c r="UQY12" s="101"/>
      <c r="UQZ12" s="101"/>
      <c r="URA12" s="101"/>
      <c r="URB12" s="101"/>
      <c r="URC12" s="101"/>
      <c r="URD12" s="101"/>
      <c r="URE12" s="101"/>
      <c r="URF12" s="101"/>
      <c r="URG12" s="101"/>
      <c r="URH12" s="101"/>
      <c r="URI12" s="101"/>
      <c r="URJ12" s="101"/>
      <c r="URK12" s="101"/>
      <c r="URL12" s="101"/>
      <c r="URM12" s="101"/>
      <c r="URN12" s="101"/>
      <c r="URO12" s="101"/>
      <c r="URP12" s="101"/>
      <c r="URQ12" s="101"/>
      <c r="URR12" s="101"/>
      <c r="URS12" s="101"/>
      <c r="URT12" s="101"/>
      <c r="URU12" s="101"/>
      <c r="URV12" s="101"/>
      <c r="URW12" s="101"/>
      <c r="URX12" s="101"/>
      <c r="URY12" s="101"/>
      <c r="URZ12" s="101"/>
      <c r="USA12" s="101"/>
      <c r="USB12" s="101"/>
      <c r="USC12" s="101"/>
      <c r="USD12" s="101"/>
      <c r="USE12" s="101"/>
      <c r="USF12" s="101"/>
      <c r="USG12" s="101"/>
      <c r="USH12" s="101"/>
      <c r="USI12" s="101"/>
      <c r="USJ12" s="101"/>
      <c r="USK12" s="101"/>
      <c r="USL12" s="101"/>
      <c r="USM12" s="101"/>
      <c r="USN12" s="101"/>
      <c r="USO12" s="101"/>
      <c r="USP12" s="101"/>
      <c r="USQ12" s="101"/>
      <c r="USR12" s="101"/>
      <c r="USS12" s="101"/>
      <c r="UST12" s="101"/>
      <c r="USU12" s="101"/>
      <c r="USV12" s="101"/>
      <c r="USW12" s="101"/>
      <c r="USX12" s="101"/>
      <c r="USY12" s="101"/>
      <c r="USZ12" s="101"/>
      <c r="UTA12" s="101"/>
      <c r="UTB12" s="101"/>
      <c r="UTC12" s="101"/>
      <c r="UTD12" s="101"/>
      <c r="UTE12" s="101"/>
      <c r="UTF12" s="101"/>
      <c r="UTG12" s="101"/>
      <c r="UTH12" s="101"/>
      <c r="UTI12" s="101"/>
      <c r="UTJ12" s="101"/>
      <c r="UTK12" s="101"/>
      <c r="UTL12" s="101"/>
      <c r="UTM12" s="101"/>
      <c r="UTN12" s="101"/>
      <c r="UTO12" s="101"/>
      <c r="UTP12" s="101"/>
      <c r="UTQ12" s="101"/>
      <c r="UTR12" s="101"/>
      <c r="UTS12" s="101"/>
      <c r="UTT12" s="101"/>
      <c r="UTU12" s="101"/>
      <c r="UTV12" s="101"/>
      <c r="UTW12" s="101"/>
      <c r="UTX12" s="101"/>
      <c r="UTY12" s="101"/>
      <c r="UTZ12" s="101"/>
      <c r="UUA12" s="101"/>
      <c r="UUB12" s="101"/>
      <c r="UUC12" s="101"/>
      <c r="UUD12" s="101"/>
      <c r="UUE12" s="101"/>
      <c r="UUF12" s="101"/>
      <c r="UUG12" s="101"/>
      <c r="UUH12" s="101"/>
      <c r="UUI12" s="101"/>
      <c r="UUJ12" s="101"/>
      <c r="UUK12" s="101"/>
      <c r="UUL12" s="101"/>
      <c r="UUM12" s="101"/>
      <c r="UUN12" s="101"/>
      <c r="UUO12" s="101"/>
      <c r="UUP12" s="101"/>
      <c r="UUQ12" s="101"/>
      <c r="UUR12" s="101"/>
      <c r="UUS12" s="101"/>
      <c r="UUT12" s="101"/>
      <c r="UUU12" s="101"/>
      <c r="UUV12" s="101"/>
      <c r="UUW12" s="101"/>
      <c r="UUX12" s="101"/>
      <c r="UUY12" s="101"/>
      <c r="UUZ12" s="101"/>
      <c r="UVA12" s="101"/>
      <c r="UVB12" s="101"/>
      <c r="UVC12" s="101"/>
      <c r="UVD12" s="101"/>
      <c r="UVE12" s="101"/>
      <c r="UVF12" s="101"/>
      <c r="UVG12" s="101"/>
      <c r="UVH12" s="101"/>
      <c r="UVI12" s="101"/>
      <c r="UVJ12" s="101"/>
      <c r="UVK12" s="101"/>
      <c r="UVL12" s="101"/>
      <c r="UVM12" s="101"/>
      <c r="UVN12" s="101"/>
      <c r="UVO12" s="101"/>
      <c r="UVP12" s="101"/>
      <c r="UVQ12" s="101"/>
      <c r="UVR12" s="101"/>
      <c r="UVS12" s="101"/>
      <c r="UVT12" s="101"/>
      <c r="UVU12" s="101"/>
      <c r="UVV12" s="101"/>
      <c r="UVW12" s="101"/>
      <c r="UVX12" s="101"/>
      <c r="UVY12" s="101"/>
      <c r="UVZ12" s="101"/>
      <c r="UWA12" s="101"/>
      <c r="UWB12" s="101"/>
      <c r="UWC12" s="101"/>
      <c r="UWD12" s="101"/>
      <c r="UWE12" s="101"/>
      <c r="UWF12" s="101"/>
      <c r="UWG12" s="101"/>
      <c r="UWH12" s="101"/>
      <c r="UWI12" s="101"/>
      <c r="UWJ12" s="101"/>
      <c r="UWK12" s="101"/>
      <c r="UWL12" s="101"/>
      <c r="UWM12" s="101"/>
      <c r="UWN12" s="101"/>
      <c r="UWO12" s="101"/>
      <c r="UWP12" s="101"/>
      <c r="UWQ12" s="101"/>
      <c r="UWR12" s="101"/>
      <c r="UWS12" s="101"/>
      <c r="UWT12" s="101"/>
      <c r="UWU12" s="101"/>
      <c r="UWV12" s="101"/>
      <c r="UWW12" s="101"/>
      <c r="UWX12" s="101"/>
      <c r="UWY12" s="101"/>
      <c r="UWZ12" s="101"/>
      <c r="UXA12" s="101"/>
      <c r="UXB12" s="101"/>
      <c r="UXC12" s="101"/>
      <c r="UXD12" s="101"/>
      <c r="UXE12" s="101"/>
      <c r="UXF12" s="101"/>
      <c r="UXG12" s="101"/>
      <c r="UXH12" s="101"/>
      <c r="UXI12" s="101"/>
      <c r="UXJ12" s="101"/>
      <c r="UXK12" s="101"/>
      <c r="UXL12" s="101"/>
      <c r="UXM12" s="101"/>
      <c r="UXN12" s="101"/>
      <c r="UXO12" s="101"/>
      <c r="UXP12" s="101"/>
      <c r="UXQ12" s="101"/>
      <c r="UXR12" s="101"/>
      <c r="UXS12" s="101"/>
      <c r="UXT12" s="101"/>
      <c r="UXU12" s="101"/>
      <c r="UXV12" s="101"/>
      <c r="UXW12" s="101"/>
      <c r="UXX12" s="101"/>
      <c r="UXY12" s="101"/>
      <c r="UXZ12" s="101"/>
      <c r="UYA12" s="101"/>
      <c r="UYB12" s="101"/>
      <c r="UYC12" s="101"/>
      <c r="UYD12" s="101"/>
      <c r="UYE12" s="101"/>
      <c r="UYF12" s="101"/>
      <c r="UYG12" s="101"/>
      <c r="UYH12" s="101"/>
      <c r="UYI12" s="101"/>
      <c r="UYJ12" s="101"/>
      <c r="UYK12" s="101"/>
      <c r="UYL12" s="101"/>
      <c r="UYM12" s="101"/>
      <c r="UYN12" s="101"/>
      <c r="UYO12" s="101"/>
      <c r="UYP12" s="101"/>
      <c r="UYQ12" s="101"/>
      <c r="UYR12" s="101"/>
      <c r="UYS12" s="101"/>
      <c r="UYT12" s="101"/>
      <c r="UYU12" s="101"/>
      <c r="UYV12" s="101"/>
      <c r="UYW12" s="101"/>
      <c r="UYX12" s="101"/>
      <c r="UYY12" s="101"/>
      <c r="UYZ12" s="101"/>
      <c r="UZA12" s="101"/>
      <c r="UZB12" s="101"/>
      <c r="UZC12" s="101"/>
      <c r="UZD12" s="101"/>
      <c r="UZE12" s="101"/>
      <c r="UZF12" s="101"/>
      <c r="UZG12" s="101"/>
      <c r="UZH12" s="101"/>
      <c r="UZI12" s="101"/>
      <c r="UZJ12" s="101"/>
      <c r="UZK12" s="101"/>
      <c r="UZL12" s="101"/>
      <c r="UZM12" s="101"/>
      <c r="UZN12" s="101"/>
      <c r="UZO12" s="101"/>
      <c r="UZP12" s="101"/>
      <c r="UZQ12" s="101"/>
      <c r="UZR12" s="101"/>
      <c r="UZS12" s="101"/>
      <c r="UZT12" s="101"/>
      <c r="UZU12" s="101"/>
      <c r="UZV12" s="101"/>
      <c r="UZW12" s="101"/>
      <c r="UZX12" s="101"/>
      <c r="UZY12" s="101"/>
      <c r="UZZ12" s="101"/>
      <c r="VAA12" s="101"/>
      <c r="VAB12" s="101"/>
      <c r="VAC12" s="101"/>
      <c r="VAD12" s="101"/>
      <c r="VAE12" s="101"/>
      <c r="VAF12" s="101"/>
      <c r="VAG12" s="101"/>
      <c r="VAH12" s="101"/>
      <c r="VAI12" s="101"/>
      <c r="VAJ12" s="101"/>
      <c r="VAK12" s="101"/>
      <c r="VAL12" s="101"/>
      <c r="VAM12" s="101"/>
      <c r="VAN12" s="101"/>
      <c r="VAO12" s="101"/>
      <c r="VAP12" s="101"/>
      <c r="VAQ12" s="101"/>
      <c r="VAR12" s="101"/>
      <c r="VAS12" s="101"/>
      <c r="VAT12" s="101"/>
      <c r="VAU12" s="101"/>
      <c r="VAV12" s="101"/>
      <c r="VAW12" s="101"/>
      <c r="VAX12" s="101"/>
      <c r="VAY12" s="101"/>
      <c r="VAZ12" s="101"/>
      <c r="VBA12" s="101"/>
      <c r="VBB12" s="101"/>
      <c r="VBC12" s="101"/>
      <c r="VBD12" s="101"/>
      <c r="VBE12" s="101"/>
      <c r="VBF12" s="101"/>
      <c r="VBG12" s="101"/>
      <c r="VBH12" s="101"/>
      <c r="VBI12" s="101"/>
      <c r="VBJ12" s="101"/>
      <c r="VBK12" s="101"/>
      <c r="VBL12" s="101"/>
      <c r="VBM12" s="101"/>
      <c r="VBN12" s="101"/>
      <c r="VBO12" s="101"/>
      <c r="VBP12" s="101"/>
      <c r="VBQ12" s="101"/>
      <c r="VBR12" s="101"/>
      <c r="VBS12" s="101"/>
      <c r="VBT12" s="101"/>
      <c r="VBU12" s="101"/>
      <c r="VBV12" s="101"/>
      <c r="VBW12" s="101"/>
      <c r="VBX12" s="101"/>
      <c r="VBY12" s="101"/>
      <c r="VBZ12" s="101"/>
      <c r="VCA12" s="101"/>
      <c r="VCB12" s="101"/>
      <c r="VCC12" s="101"/>
      <c r="VCD12" s="101"/>
      <c r="VCE12" s="101"/>
      <c r="VCF12" s="101"/>
      <c r="VCG12" s="101"/>
      <c r="VCH12" s="101"/>
      <c r="VCI12" s="101"/>
      <c r="VCJ12" s="101"/>
      <c r="VCK12" s="101"/>
      <c r="VCL12" s="101"/>
      <c r="VCM12" s="101"/>
      <c r="VCN12" s="101"/>
      <c r="VCO12" s="101"/>
      <c r="VCP12" s="101"/>
      <c r="VCQ12" s="101"/>
      <c r="VCR12" s="101"/>
      <c r="VCS12" s="101"/>
      <c r="VCT12" s="101"/>
      <c r="VCU12" s="101"/>
      <c r="VCV12" s="101"/>
      <c r="VCW12" s="101"/>
      <c r="VCX12" s="101"/>
      <c r="VCY12" s="101"/>
      <c r="VCZ12" s="101"/>
      <c r="VDA12" s="101"/>
      <c r="VDB12" s="101"/>
      <c r="VDC12" s="101"/>
      <c r="VDD12" s="101"/>
      <c r="VDE12" s="101"/>
      <c r="VDF12" s="101"/>
      <c r="VDG12" s="101"/>
      <c r="VDH12" s="101"/>
      <c r="VDI12" s="101"/>
      <c r="VDJ12" s="101"/>
      <c r="VDK12" s="101"/>
      <c r="VDL12" s="101"/>
      <c r="VDM12" s="101"/>
      <c r="VDN12" s="101"/>
      <c r="VDO12" s="101"/>
      <c r="VDP12" s="101"/>
      <c r="VDQ12" s="101"/>
      <c r="VDR12" s="101"/>
      <c r="VDS12" s="101"/>
      <c r="VDT12" s="101"/>
      <c r="VDU12" s="101"/>
      <c r="VDV12" s="101"/>
      <c r="VDW12" s="101"/>
      <c r="VDX12" s="101"/>
      <c r="VDY12" s="101"/>
      <c r="VDZ12" s="101"/>
      <c r="VEA12" s="101"/>
      <c r="VEB12" s="101"/>
      <c r="VEC12" s="101"/>
      <c r="VED12" s="101"/>
      <c r="VEE12" s="101"/>
      <c r="VEF12" s="101"/>
      <c r="VEG12" s="101"/>
      <c r="VEH12" s="101"/>
      <c r="VEI12" s="101"/>
      <c r="VEJ12" s="101"/>
      <c r="VEK12" s="101"/>
      <c r="VEL12" s="101"/>
      <c r="VEM12" s="101"/>
      <c r="VEN12" s="101"/>
      <c r="VEO12" s="101"/>
      <c r="VEP12" s="101"/>
      <c r="VEQ12" s="101"/>
      <c r="VER12" s="101"/>
      <c r="VES12" s="101"/>
      <c r="VET12" s="101"/>
      <c r="VEU12" s="101"/>
      <c r="VEV12" s="101"/>
      <c r="VEW12" s="101"/>
      <c r="VEX12" s="101"/>
      <c r="VEY12" s="101"/>
      <c r="VEZ12" s="101"/>
      <c r="VFA12" s="101"/>
      <c r="VFB12" s="101"/>
      <c r="VFC12" s="101"/>
      <c r="VFD12" s="101"/>
      <c r="VFE12" s="101"/>
      <c r="VFF12" s="101"/>
      <c r="VFG12" s="101"/>
      <c r="VFH12" s="101"/>
      <c r="VFI12" s="101"/>
      <c r="VFJ12" s="101"/>
      <c r="VFK12" s="101"/>
      <c r="VFL12" s="101"/>
      <c r="VFM12" s="101"/>
      <c r="VFN12" s="101"/>
      <c r="VFO12" s="101"/>
      <c r="VFP12" s="101"/>
      <c r="VFQ12" s="101"/>
      <c r="VFR12" s="101"/>
      <c r="VFS12" s="101"/>
      <c r="VFT12" s="101"/>
      <c r="VFU12" s="101"/>
      <c r="VFV12" s="101"/>
      <c r="VFW12" s="101"/>
      <c r="VFX12" s="101"/>
      <c r="VFY12" s="101"/>
      <c r="VFZ12" s="101"/>
      <c r="VGA12" s="101"/>
      <c r="VGB12" s="101"/>
      <c r="VGC12" s="101"/>
      <c r="VGD12" s="101"/>
      <c r="VGE12" s="101"/>
      <c r="VGF12" s="101"/>
      <c r="VGG12" s="101"/>
      <c r="VGH12" s="101"/>
      <c r="VGI12" s="101"/>
      <c r="VGJ12" s="101"/>
      <c r="VGK12" s="101"/>
      <c r="VGL12" s="101"/>
      <c r="VGM12" s="101"/>
      <c r="VGN12" s="101"/>
      <c r="VGO12" s="101"/>
      <c r="VGP12" s="101"/>
      <c r="VGQ12" s="101"/>
      <c r="VGR12" s="101"/>
      <c r="VGS12" s="101"/>
      <c r="VGT12" s="101"/>
      <c r="VGU12" s="101"/>
      <c r="VGV12" s="101"/>
      <c r="VGW12" s="101"/>
      <c r="VGX12" s="101"/>
      <c r="VGY12" s="101"/>
      <c r="VGZ12" s="101"/>
      <c r="VHA12" s="101"/>
      <c r="VHB12" s="101"/>
      <c r="VHC12" s="101"/>
      <c r="VHD12" s="101"/>
      <c r="VHE12" s="101"/>
      <c r="VHF12" s="101"/>
      <c r="VHG12" s="101"/>
      <c r="VHH12" s="101"/>
      <c r="VHI12" s="101"/>
      <c r="VHJ12" s="101"/>
      <c r="VHK12" s="101"/>
      <c r="VHL12" s="101"/>
      <c r="VHM12" s="101"/>
      <c r="VHN12" s="101"/>
      <c r="VHO12" s="101"/>
      <c r="VHP12" s="101"/>
      <c r="VHQ12" s="101"/>
      <c r="VHR12" s="101"/>
      <c r="VHS12" s="101"/>
      <c r="VHT12" s="101"/>
      <c r="VHU12" s="101"/>
      <c r="VHV12" s="101"/>
      <c r="VHW12" s="101"/>
      <c r="VHX12" s="101"/>
      <c r="VHY12" s="101"/>
      <c r="VHZ12" s="101"/>
      <c r="VIA12" s="101"/>
      <c r="VIB12" s="101"/>
      <c r="VIC12" s="101"/>
      <c r="VID12" s="101"/>
      <c r="VIE12" s="101"/>
      <c r="VIF12" s="101"/>
      <c r="VIG12" s="101"/>
      <c r="VIH12" s="101"/>
      <c r="VII12" s="101"/>
      <c r="VIJ12" s="101"/>
      <c r="VIK12" s="101"/>
      <c r="VIL12" s="101"/>
      <c r="VIM12" s="101"/>
      <c r="VIN12" s="101"/>
      <c r="VIO12" s="101"/>
      <c r="VIP12" s="101"/>
      <c r="VIQ12" s="101"/>
      <c r="VIR12" s="101"/>
      <c r="VIS12" s="101"/>
      <c r="VIT12" s="101"/>
      <c r="VIU12" s="101"/>
      <c r="VIV12" s="101"/>
      <c r="VIW12" s="101"/>
      <c r="VIX12" s="101"/>
      <c r="VIY12" s="101"/>
      <c r="VIZ12" s="101"/>
      <c r="VJA12" s="101"/>
      <c r="VJB12" s="101"/>
      <c r="VJC12" s="101"/>
      <c r="VJD12" s="101"/>
      <c r="VJE12" s="101"/>
      <c r="VJF12" s="101"/>
      <c r="VJG12" s="101"/>
      <c r="VJH12" s="101"/>
      <c r="VJI12" s="101"/>
      <c r="VJJ12" s="101"/>
      <c r="VJK12" s="101"/>
      <c r="VJL12" s="101"/>
      <c r="VJM12" s="101"/>
      <c r="VJN12" s="101"/>
      <c r="VJO12" s="101"/>
      <c r="VJP12" s="101"/>
      <c r="VJQ12" s="101"/>
      <c r="VJR12" s="101"/>
      <c r="VJS12" s="101"/>
      <c r="VJT12" s="101"/>
      <c r="VJU12" s="101"/>
      <c r="VJV12" s="101"/>
      <c r="VJW12" s="101"/>
      <c r="VJX12" s="101"/>
      <c r="VJY12" s="101"/>
      <c r="VJZ12" s="101"/>
      <c r="VKA12" s="101"/>
      <c r="VKB12" s="101"/>
      <c r="VKC12" s="101"/>
      <c r="VKD12" s="101"/>
      <c r="VKE12" s="101"/>
      <c r="VKF12" s="101"/>
      <c r="VKG12" s="101"/>
      <c r="VKH12" s="101"/>
      <c r="VKI12" s="101"/>
      <c r="VKJ12" s="101"/>
      <c r="VKK12" s="101"/>
      <c r="VKL12" s="101"/>
      <c r="VKM12" s="101"/>
      <c r="VKN12" s="101"/>
      <c r="VKO12" s="101"/>
      <c r="VKP12" s="101"/>
      <c r="VKQ12" s="101"/>
      <c r="VKR12" s="101"/>
      <c r="VKS12" s="101"/>
      <c r="VKT12" s="101"/>
      <c r="VKU12" s="101"/>
      <c r="VKV12" s="101"/>
      <c r="VKW12" s="101"/>
      <c r="VKX12" s="101"/>
      <c r="VKY12" s="101"/>
      <c r="VKZ12" s="101"/>
      <c r="VLA12" s="101"/>
      <c r="VLB12" s="101"/>
      <c r="VLC12" s="101"/>
      <c r="VLD12" s="101"/>
      <c r="VLE12" s="101"/>
      <c r="VLF12" s="101"/>
      <c r="VLG12" s="101"/>
      <c r="VLH12" s="101"/>
      <c r="VLI12" s="101"/>
      <c r="VLJ12" s="101"/>
      <c r="VLK12" s="101"/>
      <c r="VLL12" s="101"/>
      <c r="VLM12" s="101"/>
      <c r="VLN12" s="101"/>
      <c r="VLO12" s="101"/>
      <c r="VLP12" s="101"/>
      <c r="VLQ12" s="101"/>
      <c r="VLR12" s="101"/>
      <c r="VLS12" s="101"/>
      <c r="VLT12" s="101"/>
      <c r="VLU12" s="101"/>
      <c r="VLV12" s="101"/>
      <c r="VLW12" s="101"/>
      <c r="VLX12" s="101"/>
      <c r="VLY12" s="101"/>
      <c r="VLZ12" s="101"/>
      <c r="VMA12" s="101"/>
      <c r="VMB12" s="101"/>
      <c r="VMC12" s="101"/>
      <c r="VMD12" s="101"/>
      <c r="VME12" s="101"/>
      <c r="VMF12" s="101"/>
      <c r="VMG12" s="101"/>
      <c r="VMH12" s="101"/>
      <c r="VMI12" s="101"/>
      <c r="VMJ12" s="101"/>
      <c r="VMK12" s="101"/>
      <c r="VML12" s="101"/>
      <c r="VMM12" s="101"/>
      <c r="VMN12" s="101"/>
      <c r="VMO12" s="101"/>
      <c r="VMP12" s="101"/>
      <c r="VMQ12" s="101"/>
      <c r="VMR12" s="101"/>
      <c r="VMS12" s="101"/>
      <c r="VMT12" s="101"/>
      <c r="VMU12" s="101"/>
      <c r="VMV12" s="101"/>
      <c r="VMW12" s="101"/>
      <c r="VMX12" s="101"/>
      <c r="VMY12" s="101"/>
      <c r="VMZ12" s="101"/>
      <c r="VNA12" s="101"/>
      <c r="VNB12" s="101"/>
      <c r="VNC12" s="101"/>
      <c r="VND12" s="101"/>
      <c r="VNE12" s="101"/>
      <c r="VNF12" s="101"/>
      <c r="VNG12" s="101"/>
      <c r="VNH12" s="101"/>
      <c r="VNI12" s="101"/>
      <c r="VNJ12" s="101"/>
      <c r="VNK12" s="101"/>
      <c r="VNL12" s="101"/>
      <c r="VNM12" s="101"/>
      <c r="VNN12" s="101"/>
      <c r="VNO12" s="101"/>
      <c r="VNP12" s="101"/>
      <c r="VNQ12" s="101"/>
      <c r="VNR12" s="101"/>
      <c r="VNS12" s="101"/>
      <c r="VNT12" s="101"/>
      <c r="VNU12" s="101"/>
      <c r="VNV12" s="101"/>
      <c r="VNW12" s="101"/>
      <c r="VNX12" s="101"/>
      <c r="VNY12" s="101"/>
      <c r="VNZ12" s="101"/>
      <c r="VOA12" s="101"/>
      <c r="VOB12" s="101"/>
      <c r="VOC12" s="101"/>
      <c r="VOD12" s="101"/>
      <c r="VOE12" s="101"/>
      <c r="VOF12" s="101"/>
      <c r="VOG12" s="101"/>
      <c r="VOH12" s="101"/>
      <c r="VOI12" s="101"/>
      <c r="VOJ12" s="101"/>
      <c r="VOK12" s="101"/>
      <c r="VOL12" s="101"/>
      <c r="VOM12" s="101"/>
      <c r="VON12" s="101"/>
      <c r="VOO12" s="101"/>
      <c r="VOP12" s="101"/>
      <c r="VOQ12" s="101"/>
      <c r="VOR12" s="101"/>
      <c r="VOS12" s="101"/>
      <c r="VOT12" s="101"/>
      <c r="VOU12" s="101"/>
      <c r="VOV12" s="101"/>
      <c r="VOW12" s="101"/>
      <c r="VOX12" s="101"/>
      <c r="VOY12" s="101"/>
      <c r="VOZ12" s="101"/>
      <c r="VPA12" s="101"/>
      <c r="VPB12" s="101"/>
      <c r="VPC12" s="101"/>
      <c r="VPD12" s="101"/>
      <c r="VPE12" s="101"/>
      <c r="VPF12" s="101"/>
      <c r="VPG12" s="101"/>
      <c r="VPH12" s="101"/>
      <c r="VPI12" s="101"/>
      <c r="VPJ12" s="101"/>
      <c r="VPK12" s="101"/>
      <c r="VPL12" s="101"/>
      <c r="VPM12" s="101"/>
      <c r="VPN12" s="101"/>
      <c r="VPO12" s="101"/>
      <c r="VPP12" s="101"/>
      <c r="VPQ12" s="101"/>
      <c r="VPR12" s="101"/>
      <c r="VPS12" s="101"/>
      <c r="VPT12" s="101"/>
      <c r="VPU12" s="101"/>
      <c r="VPV12" s="101"/>
      <c r="VPW12" s="101"/>
      <c r="VPX12" s="101"/>
      <c r="VPY12" s="101"/>
      <c r="VPZ12" s="101"/>
      <c r="VQA12" s="101"/>
      <c r="VQB12" s="101"/>
      <c r="VQC12" s="101"/>
      <c r="VQD12" s="101"/>
      <c r="VQE12" s="101"/>
      <c r="VQF12" s="101"/>
      <c r="VQG12" s="101"/>
      <c r="VQH12" s="101"/>
      <c r="VQI12" s="101"/>
      <c r="VQJ12" s="101"/>
      <c r="VQK12" s="101"/>
      <c r="VQL12" s="101"/>
      <c r="VQM12" s="101"/>
      <c r="VQN12" s="101"/>
      <c r="VQO12" s="101"/>
      <c r="VQP12" s="101"/>
      <c r="VQQ12" s="101"/>
      <c r="VQR12" s="101"/>
      <c r="VQS12" s="101"/>
      <c r="VQT12" s="101"/>
      <c r="VQU12" s="101"/>
      <c r="VQV12" s="101"/>
      <c r="VQW12" s="101"/>
      <c r="VQX12" s="101"/>
      <c r="VQY12" s="101"/>
      <c r="VQZ12" s="101"/>
      <c r="VRA12" s="101"/>
      <c r="VRB12" s="101"/>
      <c r="VRC12" s="101"/>
      <c r="VRD12" s="101"/>
      <c r="VRE12" s="101"/>
      <c r="VRF12" s="101"/>
      <c r="VRG12" s="101"/>
      <c r="VRH12" s="101"/>
      <c r="VRI12" s="101"/>
      <c r="VRJ12" s="101"/>
      <c r="VRK12" s="101"/>
      <c r="VRL12" s="101"/>
      <c r="VRM12" s="101"/>
      <c r="VRN12" s="101"/>
      <c r="VRO12" s="101"/>
      <c r="VRP12" s="101"/>
      <c r="VRQ12" s="101"/>
      <c r="VRR12" s="101"/>
      <c r="VRS12" s="101"/>
      <c r="VRT12" s="101"/>
      <c r="VRU12" s="101"/>
      <c r="VRV12" s="101"/>
      <c r="VRW12" s="101"/>
      <c r="VRX12" s="101"/>
      <c r="VRY12" s="101"/>
      <c r="VRZ12" s="101"/>
      <c r="VSA12" s="101"/>
      <c r="VSB12" s="101"/>
      <c r="VSC12" s="101"/>
      <c r="VSD12" s="101"/>
      <c r="VSE12" s="101"/>
      <c r="VSF12" s="101"/>
      <c r="VSG12" s="101"/>
      <c r="VSH12" s="101"/>
      <c r="VSI12" s="101"/>
      <c r="VSJ12" s="101"/>
      <c r="VSK12" s="101"/>
      <c r="VSL12" s="101"/>
      <c r="VSM12" s="101"/>
      <c r="VSN12" s="101"/>
      <c r="VSO12" s="101"/>
      <c r="VSP12" s="101"/>
      <c r="VSQ12" s="101"/>
      <c r="VSR12" s="101"/>
      <c r="VSS12" s="101"/>
      <c r="VST12" s="101"/>
      <c r="VSU12" s="101"/>
      <c r="VSV12" s="101"/>
      <c r="VSW12" s="101"/>
      <c r="VSX12" s="101"/>
      <c r="VSY12" s="101"/>
      <c r="VSZ12" s="101"/>
      <c r="VTA12" s="101"/>
      <c r="VTB12" s="101"/>
      <c r="VTC12" s="101"/>
      <c r="VTD12" s="101"/>
      <c r="VTE12" s="101"/>
      <c r="VTF12" s="101"/>
      <c r="VTG12" s="101"/>
      <c r="VTH12" s="101"/>
      <c r="VTI12" s="101"/>
      <c r="VTJ12" s="101"/>
      <c r="VTK12" s="101"/>
      <c r="VTL12" s="101"/>
      <c r="VTM12" s="101"/>
      <c r="VTN12" s="101"/>
      <c r="VTO12" s="101"/>
      <c r="VTP12" s="101"/>
      <c r="VTQ12" s="101"/>
      <c r="VTR12" s="101"/>
      <c r="VTS12" s="101"/>
      <c r="VTT12" s="101"/>
      <c r="VTU12" s="101"/>
      <c r="VTV12" s="101"/>
      <c r="VTW12" s="101"/>
      <c r="VTX12" s="101"/>
      <c r="VTY12" s="101"/>
      <c r="VTZ12" s="101"/>
      <c r="VUA12" s="101"/>
      <c r="VUB12" s="101"/>
      <c r="VUC12" s="101"/>
      <c r="VUD12" s="101"/>
      <c r="VUE12" s="101"/>
      <c r="VUF12" s="101"/>
      <c r="VUG12" s="101"/>
      <c r="VUH12" s="101"/>
      <c r="VUI12" s="101"/>
      <c r="VUJ12" s="101"/>
      <c r="VUK12" s="101"/>
      <c r="VUL12" s="101"/>
      <c r="VUM12" s="101"/>
      <c r="VUN12" s="101"/>
      <c r="VUO12" s="101"/>
      <c r="VUP12" s="101"/>
      <c r="VUQ12" s="101"/>
      <c r="VUR12" s="101"/>
      <c r="VUS12" s="101"/>
      <c r="VUT12" s="101"/>
      <c r="VUU12" s="101"/>
      <c r="VUV12" s="101"/>
      <c r="VUW12" s="101"/>
      <c r="VUX12" s="101"/>
      <c r="VUY12" s="101"/>
      <c r="VUZ12" s="101"/>
      <c r="VVA12" s="101"/>
      <c r="VVB12" s="101"/>
      <c r="VVC12" s="101"/>
      <c r="VVD12" s="101"/>
      <c r="VVE12" s="101"/>
      <c r="VVF12" s="101"/>
      <c r="VVG12" s="101"/>
      <c r="VVH12" s="101"/>
      <c r="VVI12" s="101"/>
      <c r="VVJ12" s="101"/>
      <c r="VVK12" s="101"/>
      <c r="VVL12" s="101"/>
      <c r="VVM12" s="101"/>
      <c r="VVN12" s="101"/>
      <c r="VVO12" s="101"/>
      <c r="VVP12" s="101"/>
      <c r="VVQ12" s="101"/>
      <c r="VVR12" s="101"/>
      <c r="VVS12" s="101"/>
      <c r="VVT12" s="101"/>
      <c r="VVU12" s="101"/>
      <c r="VVV12" s="101"/>
      <c r="VVW12" s="101"/>
      <c r="VVX12" s="101"/>
      <c r="VVY12" s="101"/>
      <c r="VVZ12" s="101"/>
      <c r="VWA12" s="101"/>
      <c r="VWB12" s="101"/>
      <c r="VWC12" s="101"/>
      <c r="VWD12" s="101"/>
      <c r="VWE12" s="101"/>
      <c r="VWF12" s="101"/>
      <c r="VWG12" s="101"/>
      <c r="VWH12" s="101"/>
      <c r="VWI12" s="101"/>
      <c r="VWJ12" s="101"/>
      <c r="VWK12" s="101"/>
      <c r="VWL12" s="101"/>
      <c r="VWM12" s="101"/>
      <c r="VWN12" s="101"/>
      <c r="VWO12" s="101"/>
      <c r="VWP12" s="101"/>
      <c r="VWQ12" s="101"/>
      <c r="VWR12" s="101"/>
      <c r="VWS12" s="101"/>
      <c r="VWT12" s="101"/>
      <c r="VWU12" s="101"/>
      <c r="VWV12" s="101"/>
      <c r="VWW12" s="101"/>
      <c r="VWX12" s="101"/>
      <c r="VWY12" s="101"/>
      <c r="VWZ12" s="101"/>
      <c r="VXA12" s="101"/>
      <c r="VXB12" s="101"/>
      <c r="VXC12" s="101"/>
      <c r="VXD12" s="101"/>
      <c r="VXE12" s="101"/>
      <c r="VXF12" s="101"/>
      <c r="VXG12" s="101"/>
      <c r="VXH12" s="101"/>
      <c r="VXI12" s="101"/>
      <c r="VXJ12" s="101"/>
      <c r="VXK12" s="101"/>
      <c r="VXL12" s="101"/>
      <c r="VXM12" s="101"/>
      <c r="VXN12" s="101"/>
      <c r="VXO12" s="101"/>
      <c r="VXP12" s="101"/>
      <c r="VXQ12" s="101"/>
      <c r="VXR12" s="101"/>
      <c r="VXS12" s="101"/>
      <c r="VXT12" s="101"/>
      <c r="VXU12" s="101"/>
      <c r="VXV12" s="101"/>
      <c r="VXW12" s="101"/>
      <c r="VXX12" s="101"/>
      <c r="VXY12" s="101"/>
      <c r="VXZ12" s="101"/>
      <c r="VYA12" s="101"/>
      <c r="VYB12" s="101"/>
      <c r="VYC12" s="101"/>
      <c r="VYD12" s="101"/>
      <c r="VYE12" s="101"/>
      <c r="VYF12" s="101"/>
      <c r="VYG12" s="101"/>
      <c r="VYH12" s="101"/>
      <c r="VYI12" s="101"/>
      <c r="VYJ12" s="101"/>
      <c r="VYK12" s="101"/>
      <c r="VYL12" s="101"/>
      <c r="VYM12" s="101"/>
      <c r="VYN12" s="101"/>
      <c r="VYO12" s="101"/>
      <c r="VYP12" s="101"/>
      <c r="VYQ12" s="101"/>
      <c r="VYR12" s="101"/>
      <c r="VYS12" s="101"/>
      <c r="VYT12" s="101"/>
      <c r="VYU12" s="101"/>
      <c r="VYV12" s="101"/>
      <c r="VYW12" s="101"/>
      <c r="VYX12" s="101"/>
      <c r="VYY12" s="101"/>
      <c r="VYZ12" s="101"/>
      <c r="VZA12" s="101"/>
      <c r="VZB12" s="101"/>
      <c r="VZC12" s="101"/>
      <c r="VZD12" s="101"/>
      <c r="VZE12" s="101"/>
      <c r="VZF12" s="101"/>
      <c r="VZG12" s="101"/>
      <c r="VZH12" s="101"/>
      <c r="VZI12" s="101"/>
      <c r="VZJ12" s="101"/>
      <c r="VZK12" s="101"/>
      <c r="VZL12" s="101"/>
      <c r="VZM12" s="101"/>
      <c r="VZN12" s="101"/>
      <c r="VZO12" s="101"/>
      <c r="VZP12" s="101"/>
      <c r="VZQ12" s="101"/>
      <c r="VZR12" s="101"/>
      <c r="VZS12" s="101"/>
      <c r="VZT12" s="101"/>
      <c r="VZU12" s="101"/>
      <c r="VZV12" s="101"/>
      <c r="VZW12" s="101"/>
      <c r="VZX12" s="101"/>
      <c r="VZY12" s="101"/>
      <c r="VZZ12" s="101"/>
      <c r="WAA12" s="101"/>
      <c r="WAB12" s="101"/>
      <c r="WAC12" s="101"/>
      <c r="WAD12" s="101"/>
      <c r="WAE12" s="101"/>
      <c r="WAF12" s="101"/>
      <c r="WAG12" s="101"/>
      <c r="WAH12" s="101"/>
      <c r="WAI12" s="101"/>
      <c r="WAJ12" s="101"/>
      <c r="WAK12" s="101"/>
      <c r="WAL12" s="101"/>
      <c r="WAM12" s="101"/>
      <c r="WAN12" s="101"/>
      <c r="WAO12" s="101"/>
      <c r="WAP12" s="101"/>
      <c r="WAQ12" s="101"/>
      <c r="WAR12" s="101"/>
      <c r="WAS12" s="101"/>
      <c r="WAT12" s="101"/>
      <c r="WAU12" s="101"/>
      <c r="WAV12" s="101"/>
      <c r="WAW12" s="101"/>
      <c r="WAX12" s="101"/>
      <c r="WAY12" s="101"/>
      <c r="WAZ12" s="101"/>
      <c r="WBA12" s="101"/>
      <c r="WBB12" s="101"/>
      <c r="WBC12" s="101"/>
      <c r="WBD12" s="101"/>
      <c r="WBE12" s="101"/>
      <c r="WBF12" s="101"/>
      <c r="WBG12" s="101"/>
      <c r="WBH12" s="101"/>
      <c r="WBI12" s="101"/>
      <c r="WBJ12" s="101"/>
      <c r="WBK12" s="101"/>
      <c r="WBL12" s="101"/>
      <c r="WBM12" s="101"/>
      <c r="WBN12" s="101"/>
      <c r="WBO12" s="101"/>
      <c r="WBP12" s="101"/>
      <c r="WBQ12" s="101"/>
      <c r="WBR12" s="101"/>
      <c r="WBS12" s="101"/>
      <c r="WBT12" s="101"/>
      <c r="WBU12" s="101"/>
      <c r="WBV12" s="101"/>
      <c r="WBW12" s="101"/>
      <c r="WBX12" s="101"/>
      <c r="WBY12" s="101"/>
      <c r="WBZ12" s="101"/>
      <c r="WCA12" s="101"/>
      <c r="WCB12" s="101"/>
      <c r="WCC12" s="101"/>
      <c r="WCD12" s="101"/>
      <c r="WCE12" s="101"/>
      <c r="WCF12" s="101"/>
      <c r="WCG12" s="101"/>
      <c r="WCH12" s="101"/>
      <c r="WCI12" s="101"/>
      <c r="WCJ12" s="101"/>
      <c r="WCK12" s="101"/>
      <c r="WCL12" s="101"/>
      <c r="WCM12" s="101"/>
      <c r="WCN12" s="101"/>
      <c r="WCO12" s="101"/>
      <c r="WCP12" s="101"/>
      <c r="WCQ12" s="101"/>
      <c r="WCR12" s="101"/>
      <c r="WCS12" s="101"/>
      <c r="WCT12" s="101"/>
      <c r="WCU12" s="101"/>
      <c r="WCV12" s="101"/>
      <c r="WCW12" s="101"/>
      <c r="WCX12" s="101"/>
      <c r="WCY12" s="101"/>
      <c r="WCZ12" s="101"/>
      <c r="WDA12" s="101"/>
      <c r="WDB12" s="101"/>
      <c r="WDC12" s="101"/>
      <c r="WDD12" s="101"/>
      <c r="WDE12" s="101"/>
      <c r="WDF12" s="101"/>
      <c r="WDG12" s="101"/>
      <c r="WDH12" s="101"/>
      <c r="WDI12" s="101"/>
      <c r="WDJ12" s="101"/>
      <c r="WDK12" s="101"/>
      <c r="WDL12" s="101"/>
      <c r="WDM12" s="101"/>
      <c r="WDN12" s="101"/>
      <c r="WDO12" s="101"/>
      <c r="WDP12" s="101"/>
      <c r="WDQ12" s="101"/>
      <c r="WDR12" s="101"/>
      <c r="WDS12" s="101"/>
      <c r="WDT12" s="101"/>
      <c r="WDU12" s="101"/>
      <c r="WDV12" s="101"/>
      <c r="WDW12" s="101"/>
      <c r="WDX12" s="101"/>
      <c r="WDY12" s="101"/>
      <c r="WDZ12" s="101"/>
      <c r="WEA12" s="101"/>
      <c r="WEB12" s="101"/>
      <c r="WEC12" s="101"/>
      <c r="WED12" s="101"/>
      <c r="WEE12" s="101"/>
      <c r="WEF12" s="101"/>
      <c r="WEG12" s="101"/>
      <c r="WEH12" s="101"/>
      <c r="WEI12" s="101"/>
      <c r="WEJ12" s="101"/>
      <c r="WEK12" s="101"/>
      <c r="WEL12" s="101"/>
      <c r="WEM12" s="101"/>
      <c r="WEN12" s="101"/>
      <c r="WEO12" s="101"/>
      <c r="WEP12" s="101"/>
      <c r="WEQ12" s="101"/>
      <c r="WER12" s="101"/>
      <c r="WES12" s="101"/>
      <c r="WET12" s="101"/>
      <c r="WEU12" s="101"/>
      <c r="WEV12" s="101"/>
      <c r="WEW12" s="101"/>
      <c r="WEX12" s="101"/>
      <c r="WEY12" s="101"/>
      <c r="WEZ12" s="101"/>
      <c r="WFA12" s="101"/>
      <c r="WFB12" s="101"/>
      <c r="WFC12" s="101"/>
      <c r="WFD12" s="101"/>
      <c r="WFE12" s="101"/>
      <c r="WFF12" s="101"/>
      <c r="WFG12" s="101"/>
      <c r="WFH12" s="101"/>
      <c r="WFI12" s="101"/>
      <c r="WFJ12" s="101"/>
      <c r="WFK12" s="101"/>
      <c r="WFL12" s="101"/>
      <c r="WFM12" s="101"/>
      <c r="WFN12" s="101"/>
      <c r="WFO12" s="101"/>
      <c r="WFP12" s="101"/>
      <c r="WFQ12" s="101"/>
      <c r="WFR12" s="101"/>
      <c r="WFS12" s="101"/>
      <c r="WFT12" s="101"/>
      <c r="WFU12" s="101"/>
      <c r="WFV12" s="101"/>
      <c r="WFW12" s="101"/>
      <c r="WFX12" s="101"/>
      <c r="WFY12" s="101"/>
      <c r="WFZ12" s="101"/>
      <c r="WGA12" s="101"/>
      <c r="WGB12" s="101"/>
      <c r="WGC12" s="101"/>
      <c r="WGD12" s="101"/>
      <c r="WGE12" s="101"/>
      <c r="WGF12" s="101"/>
      <c r="WGG12" s="101"/>
      <c r="WGH12" s="101"/>
      <c r="WGI12" s="101"/>
      <c r="WGJ12" s="101"/>
      <c r="WGK12" s="101"/>
      <c r="WGL12" s="101"/>
      <c r="WGM12" s="101"/>
      <c r="WGN12" s="101"/>
      <c r="WGO12" s="101"/>
      <c r="WGP12" s="101"/>
      <c r="WGQ12" s="101"/>
      <c r="WGR12" s="101"/>
      <c r="WGS12" s="101"/>
      <c r="WGT12" s="101"/>
      <c r="WGU12" s="101"/>
      <c r="WGV12" s="101"/>
      <c r="WGW12" s="101"/>
      <c r="WGX12" s="101"/>
      <c r="WGY12" s="101"/>
      <c r="WGZ12" s="101"/>
      <c r="WHA12" s="101"/>
      <c r="WHB12" s="101"/>
      <c r="WHC12" s="101"/>
      <c r="WHD12" s="101"/>
      <c r="WHE12" s="101"/>
      <c r="WHF12" s="101"/>
      <c r="WHG12" s="101"/>
      <c r="WHH12" s="101"/>
      <c r="WHI12" s="101"/>
      <c r="WHJ12" s="101"/>
      <c r="WHK12" s="101"/>
      <c r="WHL12" s="101"/>
      <c r="WHM12" s="101"/>
      <c r="WHN12" s="101"/>
      <c r="WHO12" s="101"/>
      <c r="WHP12" s="101"/>
      <c r="WHQ12" s="101"/>
      <c r="WHR12" s="101"/>
      <c r="WHS12" s="101"/>
      <c r="WHT12" s="101"/>
      <c r="WHU12" s="101"/>
      <c r="WHV12" s="101"/>
      <c r="WHW12" s="101"/>
      <c r="WHX12" s="101"/>
      <c r="WHY12" s="101"/>
      <c r="WHZ12" s="101"/>
      <c r="WIA12" s="101"/>
      <c r="WIB12" s="101"/>
      <c r="WIC12" s="101"/>
      <c r="WID12" s="101"/>
      <c r="WIE12" s="101"/>
      <c r="WIF12" s="101"/>
      <c r="WIG12" s="101"/>
      <c r="WIH12" s="101"/>
      <c r="WII12" s="101"/>
      <c r="WIJ12" s="101"/>
      <c r="WIK12" s="101"/>
      <c r="WIL12" s="101"/>
      <c r="WIM12" s="101"/>
      <c r="WIN12" s="101"/>
      <c r="WIO12" s="101"/>
      <c r="WIP12" s="101"/>
      <c r="WIQ12" s="101"/>
      <c r="WIR12" s="101"/>
      <c r="WIS12" s="101"/>
      <c r="WIT12" s="101"/>
      <c r="WIU12" s="101"/>
      <c r="WIV12" s="101"/>
      <c r="WIW12" s="101"/>
      <c r="WIX12" s="101"/>
      <c r="WIY12" s="101"/>
      <c r="WIZ12" s="101"/>
      <c r="WJA12" s="101"/>
      <c r="WJB12" s="101"/>
      <c r="WJC12" s="101"/>
      <c r="WJD12" s="101"/>
      <c r="WJE12" s="101"/>
      <c r="WJF12" s="101"/>
      <c r="WJG12" s="101"/>
      <c r="WJH12" s="101"/>
      <c r="WJI12" s="101"/>
      <c r="WJJ12" s="101"/>
      <c r="WJK12" s="101"/>
      <c r="WJL12" s="101"/>
      <c r="WJM12" s="101"/>
      <c r="WJN12" s="101"/>
      <c r="WJO12" s="101"/>
      <c r="WJP12" s="101"/>
      <c r="WJQ12" s="101"/>
      <c r="WJR12" s="101"/>
      <c r="WJS12" s="101"/>
      <c r="WJT12" s="101"/>
      <c r="WJU12" s="101"/>
      <c r="WJV12" s="101"/>
      <c r="WJW12" s="101"/>
      <c r="WJX12" s="101"/>
      <c r="WJY12" s="101"/>
      <c r="WJZ12" s="101"/>
      <c r="WKA12" s="101"/>
      <c r="WKB12" s="101"/>
      <c r="WKC12" s="101"/>
      <c r="WKD12" s="101"/>
      <c r="WKE12" s="101"/>
      <c r="WKF12" s="101"/>
      <c r="WKG12" s="101"/>
      <c r="WKH12" s="101"/>
      <c r="WKI12" s="101"/>
      <c r="WKJ12" s="101"/>
      <c r="WKK12" s="101"/>
      <c r="WKL12" s="101"/>
      <c r="WKM12" s="101"/>
      <c r="WKN12" s="101"/>
      <c r="WKO12" s="101"/>
      <c r="WKP12" s="101"/>
      <c r="WKQ12" s="101"/>
      <c r="WKR12" s="101"/>
      <c r="WKS12" s="101"/>
      <c r="WKT12" s="101"/>
      <c r="WKU12" s="101"/>
      <c r="WKV12" s="101"/>
      <c r="WKW12" s="101"/>
      <c r="WKX12" s="101"/>
      <c r="WKY12" s="101"/>
      <c r="WKZ12" s="101"/>
      <c r="WLA12" s="101"/>
      <c r="WLB12" s="101"/>
      <c r="WLC12" s="101"/>
      <c r="WLD12" s="101"/>
      <c r="WLE12" s="101"/>
      <c r="WLF12" s="101"/>
      <c r="WLG12" s="101"/>
      <c r="WLH12" s="101"/>
      <c r="WLI12" s="101"/>
      <c r="WLJ12" s="101"/>
      <c r="WLK12" s="101"/>
      <c r="WLL12" s="101"/>
      <c r="WLM12" s="101"/>
      <c r="WLN12" s="101"/>
      <c r="WLO12" s="101"/>
      <c r="WLP12" s="101"/>
      <c r="WLQ12" s="101"/>
      <c r="WLR12" s="101"/>
      <c r="WLS12" s="101"/>
      <c r="WLT12" s="101"/>
      <c r="WLU12" s="101"/>
      <c r="WLV12" s="101"/>
      <c r="WLW12" s="101"/>
      <c r="WLX12" s="101"/>
      <c r="WLY12" s="101"/>
      <c r="WLZ12" s="101"/>
      <c r="WMA12" s="101"/>
      <c r="WMB12" s="101"/>
      <c r="WMC12" s="101"/>
      <c r="WMD12" s="101"/>
      <c r="WME12" s="101"/>
      <c r="WMF12" s="101"/>
      <c r="WMG12" s="101"/>
      <c r="WMH12" s="101"/>
      <c r="WMI12" s="101"/>
      <c r="WMJ12" s="101"/>
      <c r="WMK12" s="101"/>
      <c r="WML12" s="101"/>
      <c r="WMM12" s="101"/>
      <c r="WMN12" s="101"/>
      <c r="WMO12" s="101"/>
      <c r="WMP12" s="101"/>
      <c r="WMQ12" s="101"/>
      <c r="WMR12" s="101"/>
      <c r="WMS12" s="101"/>
      <c r="WMT12" s="101"/>
      <c r="WMU12" s="101"/>
      <c r="WMV12" s="101"/>
      <c r="WMW12" s="101"/>
      <c r="WMX12" s="101"/>
      <c r="WMY12" s="101"/>
      <c r="WMZ12" s="101"/>
      <c r="WNA12" s="101"/>
      <c r="WNB12" s="101"/>
      <c r="WNC12" s="101"/>
      <c r="WND12" s="101"/>
      <c r="WNE12" s="101"/>
      <c r="WNF12" s="101"/>
      <c r="WNG12" s="101"/>
      <c r="WNH12" s="101"/>
      <c r="WNI12" s="101"/>
      <c r="WNJ12" s="101"/>
      <c r="WNK12" s="101"/>
      <c r="WNL12" s="101"/>
      <c r="WNM12" s="101"/>
      <c r="WNN12" s="101"/>
      <c r="WNO12" s="101"/>
      <c r="WNP12" s="101"/>
      <c r="WNQ12" s="101"/>
      <c r="WNR12" s="101"/>
      <c r="WNS12" s="101"/>
      <c r="WNT12" s="101"/>
      <c r="WNU12" s="101"/>
      <c r="WNV12" s="101"/>
      <c r="WNW12" s="101"/>
      <c r="WNX12" s="101"/>
      <c r="WNY12" s="101"/>
      <c r="WNZ12" s="101"/>
      <c r="WOA12" s="101"/>
      <c r="WOB12" s="101"/>
      <c r="WOC12" s="101"/>
      <c r="WOD12" s="101"/>
      <c r="WOE12" s="101"/>
      <c r="WOF12" s="101"/>
      <c r="WOG12" s="101"/>
      <c r="WOH12" s="101"/>
      <c r="WOI12" s="101"/>
      <c r="WOJ12" s="101"/>
      <c r="WOK12" s="101"/>
      <c r="WOL12" s="101"/>
      <c r="WOM12" s="101"/>
      <c r="WON12" s="101"/>
      <c r="WOO12" s="101"/>
      <c r="WOP12" s="101"/>
      <c r="WOQ12" s="101"/>
      <c r="WOR12" s="101"/>
      <c r="WOS12" s="101"/>
      <c r="WOT12" s="101"/>
      <c r="WOU12" s="101"/>
      <c r="WOV12" s="101"/>
      <c r="WOW12" s="101"/>
      <c r="WOX12" s="101"/>
      <c r="WOY12" s="101"/>
      <c r="WOZ12" s="101"/>
      <c r="WPA12" s="101"/>
      <c r="WPB12" s="101"/>
      <c r="WPC12" s="101"/>
      <c r="WPD12" s="101"/>
      <c r="WPE12" s="101"/>
      <c r="WPF12" s="101"/>
      <c r="WPG12" s="101"/>
      <c r="WPH12" s="101"/>
      <c r="WPI12" s="101"/>
      <c r="WPJ12" s="101"/>
      <c r="WPK12" s="101"/>
      <c r="WPL12" s="101"/>
      <c r="WPM12" s="101"/>
      <c r="WPN12" s="101"/>
      <c r="WPO12" s="101"/>
      <c r="WPP12" s="101"/>
      <c r="WPQ12" s="101"/>
      <c r="WPR12" s="101"/>
      <c r="WPS12" s="101"/>
      <c r="WPT12" s="101"/>
      <c r="WPU12" s="101"/>
      <c r="WPV12" s="101"/>
      <c r="WPW12" s="101"/>
      <c r="WPX12" s="101"/>
      <c r="WPY12" s="101"/>
      <c r="WPZ12" s="101"/>
      <c r="WQA12" s="101"/>
      <c r="WQB12" s="101"/>
      <c r="WQC12" s="101"/>
      <c r="WQD12" s="101"/>
      <c r="WQE12" s="101"/>
      <c r="WQF12" s="101"/>
      <c r="WQG12" s="101"/>
      <c r="WQH12" s="101"/>
      <c r="WQI12" s="101"/>
      <c r="WQJ12" s="101"/>
      <c r="WQK12" s="101"/>
      <c r="WQL12" s="101"/>
      <c r="WQM12" s="101"/>
      <c r="WQN12" s="101"/>
      <c r="WQO12" s="101"/>
      <c r="WQP12" s="101"/>
      <c r="WQQ12" s="101"/>
      <c r="WQR12" s="101"/>
      <c r="WQS12" s="101"/>
      <c r="WQT12" s="101"/>
      <c r="WQU12" s="101"/>
      <c r="WQV12" s="101"/>
      <c r="WQW12" s="101"/>
      <c r="WQX12" s="101"/>
      <c r="WQY12" s="101"/>
      <c r="WQZ12" s="101"/>
      <c r="WRA12" s="101"/>
      <c r="WRB12" s="101"/>
      <c r="WRC12" s="101"/>
      <c r="WRD12" s="101"/>
      <c r="WRE12" s="101"/>
      <c r="WRF12" s="101"/>
      <c r="WRG12" s="101"/>
      <c r="WRH12" s="101"/>
      <c r="WRI12" s="101"/>
      <c r="WRJ12" s="101"/>
      <c r="WRK12" s="101"/>
      <c r="WRL12" s="101"/>
      <c r="WRM12" s="101"/>
      <c r="WRN12" s="101"/>
      <c r="WRO12" s="101"/>
      <c r="WRP12" s="101"/>
      <c r="WRQ12" s="101"/>
      <c r="WRR12" s="101"/>
      <c r="WRS12" s="101"/>
      <c r="WRT12" s="101"/>
      <c r="WRU12" s="101"/>
      <c r="WRV12" s="101"/>
      <c r="WRW12" s="101"/>
      <c r="WRX12" s="101"/>
      <c r="WRY12" s="101"/>
      <c r="WRZ12" s="101"/>
      <c r="WSA12" s="101"/>
      <c r="WSB12" s="101"/>
      <c r="WSC12" s="101"/>
      <c r="WSD12" s="101"/>
      <c r="WSE12" s="101"/>
      <c r="WSF12" s="101"/>
      <c r="WSG12" s="101"/>
      <c r="WSH12" s="101"/>
      <c r="WSI12" s="101"/>
      <c r="WSJ12" s="101"/>
      <c r="WSK12" s="101"/>
      <c r="WSL12" s="101"/>
      <c r="WSM12" s="101"/>
      <c r="WSN12" s="101"/>
      <c r="WSO12" s="101"/>
      <c r="WSP12" s="101"/>
      <c r="WSQ12" s="101"/>
      <c r="WSR12" s="101"/>
      <c r="WSS12" s="101"/>
      <c r="WST12" s="101"/>
      <c r="WSU12" s="101"/>
      <c r="WSV12" s="101"/>
      <c r="WSW12" s="101"/>
      <c r="WSX12" s="101"/>
      <c r="WSY12" s="101"/>
      <c r="WSZ12" s="101"/>
      <c r="WTA12" s="101"/>
      <c r="WTB12" s="101"/>
      <c r="WTC12" s="101"/>
      <c r="WTD12" s="101"/>
      <c r="WTE12" s="101"/>
      <c r="WTF12" s="101"/>
      <c r="WTG12" s="101"/>
      <c r="WTH12" s="101"/>
      <c r="WTI12" s="101"/>
      <c r="WTJ12" s="101"/>
      <c r="WTK12" s="101"/>
      <c r="WTL12" s="101"/>
      <c r="WTM12" s="101"/>
      <c r="WTN12" s="101"/>
      <c r="WTO12" s="101"/>
      <c r="WTP12" s="101"/>
      <c r="WTQ12" s="101"/>
      <c r="WTR12" s="101"/>
      <c r="WTS12" s="101"/>
      <c r="WTT12" s="101"/>
      <c r="WTU12" s="101"/>
      <c r="WTV12" s="101"/>
      <c r="WTW12" s="101"/>
      <c r="WTX12" s="101"/>
      <c r="WTY12" s="101"/>
      <c r="WTZ12" s="101"/>
      <c r="WUA12" s="101"/>
      <c r="WUB12" s="101"/>
      <c r="WUC12" s="101"/>
      <c r="WUD12" s="101"/>
      <c r="WUE12" s="101"/>
      <c r="WUF12" s="101"/>
      <c r="WUG12" s="101"/>
      <c r="WUH12" s="101"/>
      <c r="WUI12" s="101"/>
      <c r="WUJ12" s="101"/>
      <c r="WUK12" s="101"/>
      <c r="WUL12" s="101"/>
      <c r="WUM12" s="101"/>
      <c r="WUN12" s="101"/>
      <c r="WUO12" s="101"/>
      <c r="WUP12" s="101"/>
      <c r="WUQ12" s="101"/>
      <c r="WUR12" s="101"/>
      <c r="WUS12" s="101"/>
      <c r="WUT12" s="101"/>
      <c r="WUU12" s="101"/>
      <c r="WUV12" s="101"/>
      <c r="WUW12" s="101"/>
      <c r="WUX12" s="101"/>
      <c r="WUY12" s="101"/>
      <c r="WUZ12" s="101"/>
      <c r="WVA12" s="101"/>
      <c r="WVB12" s="101"/>
      <c r="WVC12" s="101"/>
      <c r="WVD12" s="101"/>
      <c r="WVE12" s="101"/>
      <c r="WVF12" s="101"/>
      <c r="WVG12" s="101"/>
      <c r="WVH12" s="101"/>
      <c r="WVI12" s="101"/>
      <c r="WVJ12" s="101"/>
      <c r="WVK12" s="101"/>
      <c r="WVL12" s="101"/>
      <c r="WVM12" s="101"/>
      <c r="WVN12" s="101"/>
      <c r="WVO12" s="101"/>
      <c r="WVP12" s="101"/>
      <c r="WVQ12" s="101"/>
      <c r="WVR12" s="101"/>
      <c r="WVS12" s="101"/>
      <c r="WVT12" s="101"/>
      <c r="WVU12" s="101"/>
      <c r="WVV12" s="101"/>
      <c r="WVW12" s="101"/>
      <c r="WVX12" s="101"/>
      <c r="WVY12" s="101"/>
      <c r="WVZ12" s="101"/>
      <c r="WWA12" s="101"/>
      <c r="WWB12" s="101"/>
      <c r="WWC12" s="101"/>
      <c r="WWD12" s="101"/>
      <c r="WWE12" s="101"/>
      <c r="WWF12" s="101"/>
      <c r="WWG12" s="101"/>
      <c r="WWH12" s="101"/>
      <c r="WWI12" s="101"/>
      <c r="WWJ12" s="101"/>
      <c r="WWK12" s="101"/>
      <c r="WWL12" s="101"/>
      <c r="WWM12" s="101"/>
      <c r="WWN12" s="101"/>
      <c r="WWO12" s="101"/>
      <c r="WWP12" s="101"/>
      <c r="WWQ12" s="101"/>
      <c r="WWR12" s="101"/>
      <c r="WWS12" s="101"/>
      <c r="WWT12" s="101"/>
      <c r="WWU12" s="101"/>
      <c r="WWV12" s="101"/>
      <c r="WWW12" s="101"/>
      <c r="WWX12" s="101"/>
      <c r="WWY12" s="101"/>
      <c r="WWZ12" s="101"/>
      <c r="WXA12" s="101"/>
      <c r="WXB12" s="101"/>
      <c r="WXC12" s="101"/>
      <c r="WXD12" s="101"/>
      <c r="WXE12" s="101"/>
      <c r="WXF12" s="101"/>
      <c r="WXG12" s="101"/>
      <c r="WXH12" s="101"/>
      <c r="WXI12" s="101"/>
      <c r="WXJ12" s="101"/>
      <c r="WXK12" s="101"/>
      <c r="WXL12" s="101"/>
      <c r="WXM12" s="101"/>
      <c r="WXN12" s="101"/>
      <c r="WXO12" s="101"/>
      <c r="WXP12" s="101"/>
      <c r="WXQ12" s="101"/>
      <c r="WXR12" s="101"/>
      <c r="WXS12" s="101"/>
      <c r="WXT12" s="101"/>
      <c r="WXU12" s="101"/>
      <c r="WXV12" s="101"/>
      <c r="WXW12" s="101"/>
      <c r="WXX12" s="101"/>
      <c r="WXY12" s="101"/>
      <c r="WXZ12" s="101"/>
      <c r="WYA12" s="101"/>
      <c r="WYB12" s="101"/>
      <c r="WYC12" s="101"/>
      <c r="WYD12" s="101"/>
      <c r="WYE12" s="101"/>
      <c r="WYF12" s="101"/>
      <c r="WYG12" s="101"/>
      <c r="WYH12" s="101"/>
      <c r="WYI12" s="101"/>
      <c r="WYJ12" s="101"/>
      <c r="WYK12" s="101"/>
      <c r="WYL12" s="101"/>
      <c r="WYM12" s="101"/>
      <c r="WYN12" s="101"/>
      <c r="WYO12" s="101"/>
      <c r="WYP12" s="101"/>
      <c r="WYQ12" s="101"/>
      <c r="WYR12" s="101"/>
      <c r="WYS12" s="101"/>
      <c r="WYT12" s="101"/>
      <c r="WYU12" s="101"/>
      <c r="WYV12" s="101"/>
      <c r="WYW12" s="101"/>
      <c r="WYX12" s="101"/>
      <c r="WYY12" s="101"/>
      <c r="WYZ12" s="101"/>
      <c r="WZA12" s="101"/>
      <c r="WZB12" s="101"/>
      <c r="WZC12" s="101"/>
      <c r="WZD12" s="101"/>
      <c r="WZE12" s="101"/>
      <c r="WZF12" s="101"/>
      <c r="WZG12" s="101"/>
      <c r="WZH12" s="101"/>
      <c r="WZI12" s="101"/>
      <c r="WZJ12" s="101"/>
      <c r="WZK12" s="101"/>
      <c r="WZL12" s="101"/>
      <c r="WZM12" s="101"/>
      <c r="WZN12" s="101"/>
      <c r="WZO12" s="101"/>
      <c r="WZP12" s="101"/>
      <c r="WZQ12" s="101"/>
      <c r="WZR12" s="101"/>
      <c r="WZS12" s="101"/>
      <c r="WZT12" s="101"/>
      <c r="WZU12" s="101"/>
      <c r="WZV12" s="101"/>
      <c r="WZW12" s="101"/>
      <c r="WZX12" s="101"/>
      <c r="WZY12" s="101"/>
      <c r="WZZ12" s="101"/>
      <c r="XAA12" s="101"/>
      <c r="XAB12" s="101"/>
      <c r="XAC12" s="101"/>
      <c r="XAD12" s="101"/>
      <c r="XAE12" s="101"/>
      <c r="XAF12" s="101"/>
      <c r="XAG12" s="101"/>
      <c r="XAH12" s="101"/>
      <c r="XAI12" s="101"/>
      <c r="XAJ12" s="101"/>
      <c r="XAK12" s="101"/>
      <c r="XAL12" s="101"/>
      <c r="XAM12" s="101"/>
      <c r="XAN12" s="101"/>
      <c r="XAO12" s="101"/>
      <c r="XAP12" s="101"/>
      <c r="XAQ12" s="101"/>
      <c r="XAR12" s="101"/>
      <c r="XAS12" s="101"/>
      <c r="XAT12" s="101"/>
      <c r="XAU12" s="101"/>
      <c r="XAV12" s="101"/>
      <c r="XAW12" s="101"/>
      <c r="XAX12" s="101"/>
      <c r="XAY12" s="101"/>
      <c r="XAZ12" s="101"/>
      <c r="XBA12" s="101"/>
      <c r="XBB12" s="101"/>
      <c r="XBC12" s="101"/>
      <c r="XBD12" s="101"/>
      <c r="XBE12" s="101"/>
      <c r="XBF12" s="101"/>
      <c r="XBG12" s="101"/>
      <c r="XBH12" s="101"/>
      <c r="XBI12" s="101"/>
      <c r="XBJ12" s="101"/>
      <c r="XBK12" s="101"/>
      <c r="XBL12" s="101"/>
      <c r="XBM12" s="101"/>
      <c r="XBN12" s="101"/>
      <c r="XBO12" s="101"/>
      <c r="XBP12" s="101"/>
      <c r="XBQ12" s="101"/>
      <c r="XBR12" s="101"/>
      <c r="XBS12" s="101"/>
      <c r="XBT12" s="101"/>
      <c r="XBU12" s="101"/>
      <c r="XBV12" s="101"/>
      <c r="XBW12" s="101"/>
      <c r="XBX12" s="101"/>
      <c r="XBY12" s="101"/>
      <c r="XBZ12" s="101"/>
      <c r="XCA12" s="101"/>
      <c r="XCB12" s="101"/>
      <c r="XCC12" s="101"/>
      <c r="XCD12" s="101"/>
      <c r="XCE12" s="101"/>
      <c r="XCF12" s="101"/>
      <c r="XCG12" s="101"/>
      <c r="XCH12" s="101"/>
      <c r="XCI12" s="101"/>
      <c r="XCJ12" s="101"/>
      <c r="XCK12" s="101"/>
      <c r="XCL12" s="101"/>
      <c r="XCM12" s="101"/>
      <c r="XCN12" s="101"/>
      <c r="XCO12" s="101"/>
      <c r="XCP12" s="101"/>
      <c r="XCQ12" s="101"/>
      <c r="XCR12" s="101"/>
      <c r="XCS12" s="101"/>
      <c r="XCT12" s="101"/>
      <c r="XCU12" s="101"/>
      <c r="XCV12" s="101"/>
      <c r="XCW12" s="101"/>
      <c r="XCX12" s="101"/>
      <c r="XCY12" s="101"/>
      <c r="XCZ12" s="101"/>
      <c r="XDA12" s="101"/>
      <c r="XDB12" s="101"/>
      <c r="XDC12" s="101"/>
      <c r="XDD12" s="101"/>
      <c r="XDE12" s="101"/>
      <c r="XDF12" s="101"/>
      <c r="XDG12" s="101"/>
      <c r="XDH12" s="101"/>
      <c r="XDI12" s="101"/>
      <c r="XDJ12" s="101"/>
      <c r="XDK12" s="101"/>
      <c r="XDL12" s="101"/>
      <c r="XDM12" s="101"/>
      <c r="XDN12" s="101"/>
      <c r="XDO12" s="101"/>
      <c r="XDP12" s="101"/>
      <c r="XDQ12" s="101"/>
      <c r="XDR12" s="101"/>
      <c r="XDS12" s="101"/>
      <c r="XDT12" s="101"/>
    </row>
    <row r="13" spans="1:16348" ht="16.2" customHeight="1" thickBot="1" x14ac:dyDescent="0.35">
      <c r="A13" s="13"/>
      <c r="B13" s="71" t="s">
        <v>229</v>
      </c>
      <c r="C13" s="55"/>
      <c r="D13" s="79"/>
      <c r="E13" s="79"/>
      <c r="F13" s="79"/>
      <c r="G13" s="79"/>
      <c r="H13" s="79"/>
      <c r="I13" s="35"/>
      <c r="J13" s="12"/>
      <c r="K13" s="48"/>
      <c r="L13" s="54" t="s">
        <v>56</v>
      </c>
      <c r="M13" s="86">
        <f>AggLabP1[[#Totals],[Not Tested]]</f>
        <v>0</v>
      </c>
      <c r="N13" s="12"/>
      <c r="O13" s="30"/>
      <c r="P13" s="72" t="s">
        <v>48</v>
      </c>
      <c r="Q13" s="93">
        <f>AggTreatmentP1[[#Totals],[MTB Not Detected
(N)]]</f>
        <v>0</v>
      </c>
      <c r="R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row>
    <row r="14" spans="1:16348" ht="16.95" customHeight="1" x14ac:dyDescent="0.3">
      <c r="A14" s="13"/>
      <c r="B14" s="30"/>
      <c r="C14" s="55" t="s">
        <v>48</v>
      </c>
      <c r="D14" s="75">
        <f>AggPresumptiveP1[[#Totals],[MTB Not Detected
(N)]]</f>
        <v>0</v>
      </c>
      <c r="E14" s="75">
        <f>AggPresumptiveP2[[#Totals],[MTB Not Detected
(N)]]</f>
        <v>0</v>
      </c>
      <c r="F14" s="75">
        <f>AggPresumptiveP3[[#Totals],[MTB Not Detected
(N)]]</f>
        <v>0</v>
      </c>
      <c r="G14" s="79">
        <f>AggPresumptiveP4[[#Totals],[MTB Not Detected
(N)]]</f>
        <v>0</v>
      </c>
      <c r="H14" s="79">
        <f>AggPresumptiveP5[[#Totals],[MTB Not Detected
(N)]]</f>
        <v>0</v>
      </c>
      <c r="I14" s="35">
        <f>SUM(D14:H14)</f>
        <v>0</v>
      </c>
      <c r="J14" s="12"/>
      <c r="K14" s="66" t="s">
        <v>55</v>
      </c>
      <c r="L14" s="67"/>
      <c r="M14" s="84"/>
      <c r="N14" s="12"/>
      <c r="O14" s="30"/>
      <c r="P14" s="72" t="s">
        <v>69</v>
      </c>
      <c r="Q14" s="93">
        <f>AggTreatmentP1[[#Totals],[MTB Detected
(including trace), 
RIF Resistance not Detected
(T)]]</f>
        <v>0</v>
      </c>
      <c r="R14" s="32"/>
      <c r="S14"/>
      <c r="T14"/>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row>
    <row r="15" spans="1:16348" ht="16.2" customHeight="1" x14ac:dyDescent="0.3">
      <c r="A15" s="13"/>
      <c r="B15" s="30"/>
      <c r="C15" s="55" t="s">
        <v>69</v>
      </c>
      <c r="D15" s="75">
        <f>AggPresumptiveP1[[#Totals],[MTB Detected
(including trace), 
RIF Resistance not Detected
(T)]]</f>
        <v>0</v>
      </c>
      <c r="E15" s="75">
        <f>AggPresumptiveP2[[#Totals],[MTB Detected
(including trace), 
RIF Resistance not Detected
(T)]]</f>
        <v>0</v>
      </c>
      <c r="F15" s="75">
        <f>AggPresumptiveP3[[#Totals],[MTB Detected
(including trace), 
RIF Resistance not Detected
(T)]]</f>
        <v>0</v>
      </c>
      <c r="G15" s="79">
        <f>AggPresumptiveP4[[#Totals],[MTB Detected
(including trace), 
RIF Resistance not Detected
(T)]]</f>
        <v>0</v>
      </c>
      <c r="H15" s="79">
        <f>AggPresumptiveP5[[#Totals],[MTB Detected
(including trace), 
RIF Resistance not Detected
(T)]]</f>
        <v>0</v>
      </c>
      <c r="I15" s="35">
        <f t="shared" ref="I15:I18" si="0">SUM(D15:H15)</f>
        <v>0</v>
      </c>
      <c r="J15" s="12"/>
      <c r="K15" s="48"/>
      <c r="L15" s="54" t="s">
        <v>6</v>
      </c>
      <c r="M15" s="85">
        <f>AggLabP1[[#Totals],[AFB (-)]]</f>
        <v>0</v>
      </c>
      <c r="N15" s="12"/>
      <c r="O15" s="30"/>
      <c r="P15" s="72" t="s">
        <v>70</v>
      </c>
      <c r="Q15" s="93">
        <f>AggTreatmentP1[[#Totals],[MTB Detected (including trace), 
RIF Resistance Detected
(RR)]]</f>
        <v>0</v>
      </c>
      <c r="R15" s="32"/>
      <c r="S15"/>
      <c r="T15"/>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row>
    <row r="16" spans="1:16348" ht="16.2" customHeight="1" thickBot="1" x14ac:dyDescent="0.35">
      <c r="A16" s="13"/>
      <c r="B16" s="30"/>
      <c r="C16" s="55" t="s">
        <v>70</v>
      </c>
      <c r="D16" s="75">
        <f>AggPresumptiveP1[[#Totals],[MTB Detected (including trace), 
RIF Resistance Detected
(RR)]]</f>
        <v>0</v>
      </c>
      <c r="E16" s="75">
        <f>AggPresumptiveP2[[#Totals],[MTB Detected (including trace), 
RIF Resistance Detected
(RR)]]</f>
        <v>0</v>
      </c>
      <c r="F16" s="75">
        <f>AggPresumptiveP3[[#Totals],[MTB Detected (including trace), 
RIF Resistance Detected
(RR)]]</f>
        <v>0</v>
      </c>
      <c r="G16" s="79">
        <f>AggPresumptiveP4[[#Totals],[MTB Detected (including trace), 
RIF Resistance Detected
(RR)]]</f>
        <v>0</v>
      </c>
      <c r="H16" s="79">
        <f>AggPresumptiveP5[[#Totals],[MTB Detected (including trace), 
RIF Resistance Detected
(RR)]]</f>
        <v>0</v>
      </c>
      <c r="I16" s="35">
        <f t="shared" si="0"/>
        <v>0</v>
      </c>
      <c r="J16" s="12"/>
      <c r="K16" s="48"/>
      <c r="L16" s="54" t="s">
        <v>5</v>
      </c>
      <c r="M16" s="85">
        <f>AggLabP1[[#Totals],[AFB (+)]]</f>
        <v>0</v>
      </c>
      <c r="N16" s="12"/>
      <c r="O16" s="30"/>
      <c r="P16" s="72" t="s">
        <v>71</v>
      </c>
      <c r="Q16" s="93">
        <f>AggTreatmentP1[[#Totals],[MTB Detected (including trace), 
RIF Resistance Indeterminate
(TI)]]</f>
        <v>0</v>
      </c>
      <c r="R16" s="101"/>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row>
    <row r="17" spans="1:16348" ht="16.2" customHeight="1" thickBot="1" x14ac:dyDescent="0.35">
      <c r="A17" s="13"/>
      <c r="B17" s="30"/>
      <c r="C17" s="55" t="s">
        <v>71</v>
      </c>
      <c r="D17" s="75">
        <f>AggPresumptiveP1[[#Totals],[MTB Detected (including trace), 
RIF Resistance Indeterminate
(TI)]]</f>
        <v>0</v>
      </c>
      <c r="E17" s="75">
        <f>AggPresumptiveP2[[#Totals],[MTB Detected (including trace), 
RIF Resistance Indeterminate
(TI)]]</f>
        <v>0</v>
      </c>
      <c r="F17" s="75">
        <f>AggPresumptiveP3[[#Totals],[MTB Detected (including trace), 
RIF Resistance Indeterminate
(TI)]]</f>
        <v>0</v>
      </c>
      <c r="G17" s="79">
        <f>AggPresumptiveP4[[#Totals],[MTB Detected (including trace), 
RIF Resistance Indeterminate
(TI)]]</f>
        <v>0</v>
      </c>
      <c r="H17" s="79">
        <f>AggPresumptiveP5[[#Totals],[MTB Detected (including trace), 
RIF Resistance Indeterminate
(TI)]]</f>
        <v>0</v>
      </c>
      <c r="I17" s="481">
        <f t="shared" si="0"/>
        <v>0</v>
      </c>
      <c r="J17" s="12"/>
      <c r="K17" s="66" t="s">
        <v>229</v>
      </c>
      <c r="L17" s="29"/>
      <c r="M17" s="87"/>
      <c r="N17" s="12"/>
      <c r="O17" s="82"/>
      <c r="P17" s="73" t="s">
        <v>128</v>
      </c>
      <c r="Q17" s="97">
        <f>AggTreatmentP1[[#Totals],[Invalid
No Result Error
(I)]]</f>
        <v>0</v>
      </c>
      <c r="R17" s="32"/>
      <c r="S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row>
    <row r="18" spans="1:16348" ht="16.2" customHeight="1" thickBot="1" x14ac:dyDescent="0.35">
      <c r="A18" s="11"/>
      <c r="B18" s="31"/>
      <c r="C18" s="58" t="s">
        <v>128</v>
      </c>
      <c r="D18" s="77">
        <f>AggPresumptiveP1[[#Totals],[Invalid
No Result Error
(I)]]</f>
        <v>0</v>
      </c>
      <c r="E18" s="77">
        <f>AggPresumptiveP2[[#Totals],[Invalid
No Result Error
(I)]]</f>
        <v>0</v>
      </c>
      <c r="F18" s="77">
        <f>AggPresumptiveP3[[#Totals],[Invalid
No Result Error
(I)]]</f>
        <v>0</v>
      </c>
      <c r="G18" s="77">
        <f>AggPresumptiveP4[[#Totals],[Invalid
No Result Error
(I)]]</f>
        <v>0</v>
      </c>
      <c r="H18" s="77">
        <f>AggPresumptiveP5[[#Totals],[Invalid
No Result Error
(I)]]</f>
        <v>0</v>
      </c>
      <c r="I18" s="36">
        <f t="shared" si="0"/>
        <v>0</v>
      </c>
      <c r="J18" s="12"/>
      <c r="K18" s="30"/>
      <c r="L18" s="55" t="s">
        <v>48</v>
      </c>
      <c r="M18" s="88">
        <f>AggLabP1[[#Totals],[MTB Not Detected
(N)]]</f>
        <v>0</v>
      </c>
      <c r="N18" s="12"/>
      <c r="O18" s="48" t="s">
        <v>7</v>
      </c>
      <c r="P18" s="70"/>
      <c r="Q18" s="92"/>
      <c r="R18" s="32"/>
      <c r="S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row>
    <row r="19" spans="1:16348" ht="16.2" customHeight="1" thickBot="1" x14ac:dyDescent="0.35">
      <c r="A19" s="11"/>
      <c r="B19" s="48" t="s">
        <v>135</v>
      </c>
      <c r="C19" s="55"/>
      <c r="D19" s="79"/>
      <c r="E19" s="76"/>
      <c r="F19" s="79"/>
      <c r="G19" s="79"/>
      <c r="H19" s="79"/>
      <c r="I19" s="35"/>
      <c r="J19" s="12"/>
      <c r="K19" s="30"/>
      <c r="L19" s="55" t="s">
        <v>69</v>
      </c>
      <c r="M19" s="88">
        <f>AggLabP1[[#Totals],[MTB Detected
(including trace), 
RIF Resistance not Detected
(T)]]</f>
        <v>0</v>
      </c>
      <c r="N19" s="12"/>
      <c r="O19" s="30"/>
      <c r="P19" s="70" t="s">
        <v>65</v>
      </c>
      <c r="Q19" s="92">
        <f>AggTreatmentP1[[#Totals],[Transferred Out]]</f>
        <v>0</v>
      </c>
      <c r="R19" s="32"/>
      <c r="S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row>
    <row r="20" spans="1:16348" ht="16.2" customHeight="1" x14ac:dyDescent="0.3">
      <c r="A20" s="11"/>
      <c r="B20" s="30"/>
      <c r="C20" s="55" t="s">
        <v>130</v>
      </c>
      <c r="D20" s="79">
        <f>AggPresumptiveP1[[#Totals],[LAM Positive]]</f>
        <v>0</v>
      </c>
      <c r="E20" s="79">
        <f>AggPresumptiveP2[[#Totals],[LAM Positive]]</f>
        <v>0</v>
      </c>
      <c r="F20" s="79">
        <f>AggPresumptiveP3[[#Totals],[LAM Positive]]</f>
        <v>0</v>
      </c>
      <c r="G20" s="79">
        <f>AggPresumptiveP4[[#Totals],[LAM Positive]]</f>
        <v>0</v>
      </c>
      <c r="H20" s="79">
        <f>AggPresumptiveP5[[#Totals],[LAM Positive]]</f>
        <v>0</v>
      </c>
      <c r="I20" s="35">
        <f>SUM(D20:H20)</f>
        <v>0</v>
      </c>
      <c r="J20" s="12"/>
      <c r="K20" s="30"/>
      <c r="L20" s="55" t="s">
        <v>70</v>
      </c>
      <c r="M20" s="85">
        <f>AggLabP1[[#Totals],[MTB Detected (including trace), 
RIF Resistance Detected
(RR)]]</f>
        <v>0</v>
      </c>
      <c r="N20" s="12"/>
      <c r="O20" s="150" t="s">
        <v>8</v>
      </c>
      <c r="P20" s="151"/>
      <c r="Q20" s="94"/>
      <c r="R20" s="32"/>
      <c r="S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row>
    <row r="21" spans="1:16348" x14ac:dyDescent="0.3">
      <c r="A21" s="11"/>
      <c r="B21" s="30"/>
      <c r="C21" s="55" t="s">
        <v>131</v>
      </c>
      <c r="D21" s="79">
        <f>AggPresumptiveP1[[#Totals],[LAM Negative]]</f>
        <v>0</v>
      </c>
      <c r="E21" s="79">
        <f>AggPresumptiveP2[[#Totals],[LAM Negative]]</f>
        <v>0</v>
      </c>
      <c r="F21" s="79">
        <f>AggPresumptiveP3[[#Totals],[LAM Negative]]</f>
        <v>0</v>
      </c>
      <c r="G21" s="79">
        <f>AggPresumptiveP4[[#Totals],[LAM Negative]]</f>
        <v>0</v>
      </c>
      <c r="H21" s="79">
        <f>AggPresumptiveP5[[#Totals],[LAM Negative]]</f>
        <v>0</v>
      </c>
      <c r="I21" s="35">
        <f>SUM(D21:H21)</f>
        <v>0</v>
      </c>
      <c r="J21" s="12"/>
      <c r="K21" s="30"/>
      <c r="L21" s="55" t="s">
        <v>71</v>
      </c>
      <c r="M21" s="85">
        <f>AggLabP1[[#Totals],[MTB Detected (including trace), 
RIF Resistance Indeterminate
(TI)]]</f>
        <v>0</v>
      </c>
      <c r="N21" s="12"/>
      <c r="O21" s="30"/>
      <c r="P21" s="72" t="s">
        <v>49</v>
      </c>
      <c r="Q21" s="92">
        <f>AggTreatmentP1[[#Totals],[Known HIV Positive (KPos)]]+AggTreatmentP1[[#Totals],[Newly Tested HIV Positive (NPos)]]</f>
        <v>0</v>
      </c>
      <c r="R21" s="32"/>
      <c r="S21" s="101"/>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row>
    <row r="22" spans="1:16348" s="102" customFormat="1" ht="15.75" customHeight="1" thickBot="1" x14ac:dyDescent="0.35">
      <c r="A22" s="11"/>
      <c r="B22" s="30"/>
      <c r="C22" s="55" t="s">
        <v>132</v>
      </c>
      <c r="D22" s="79">
        <f>AggPresumptiveP1[[#Totals],[Invalid]]</f>
        <v>0</v>
      </c>
      <c r="E22" s="79">
        <f>AggPresumptiveP2[[#Totals],[Invalid]]</f>
        <v>0</v>
      </c>
      <c r="F22" s="79">
        <f>AggPresumptiveP3[[#Totals],[Invalid]]</f>
        <v>0</v>
      </c>
      <c r="G22" s="79">
        <f>AggPresumptiveP4[[#Totals],[Invalid]]</f>
        <v>0</v>
      </c>
      <c r="H22" s="79">
        <f>AggPresumptiveP5[[#Totals],[Invalid]]</f>
        <v>0</v>
      </c>
      <c r="I22" s="482">
        <f>SUM(D22:H22)</f>
        <v>0</v>
      </c>
      <c r="J22" s="12"/>
      <c r="K22" s="30"/>
      <c r="L22" s="55" t="s">
        <v>128</v>
      </c>
      <c r="M22" s="89">
        <f>AggLabP1[[#Totals],[Invalid
No Result Error
(I)]]</f>
        <v>0</v>
      </c>
      <c r="N22" s="6"/>
      <c r="O22" s="30"/>
      <c r="P22" s="72" t="s">
        <v>50</v>
      </c>
      <c r="Q22" s="92">
        <f>AggTreatmentP1[[#Totals],[Negative (Neg)]]</f>
        <v>0</v>
      </c>
      <c r="R22" s="32"/>
      <c r="S22" s="32"/>
      <c r="T22" s="6"/>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K22" s="101"/>
      <c r="IL22" s="101"/>
      <c r="IM22" s="10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N22" s="101"/>
      <c r="LO22" s="101"/>
      <c r="LP22" s="10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c r="OQ22" s="101"/>
      <c r="OR22" s="101"/>
      <c r="OS22" s="101"/>
      <c r="OT22" s="101"/>
      <c r="OU22" s="101"/>
      <c r="OV22" s="101"/>
      <c r="OW22" s="101"/>
      <c r="OX22" s="101"/>
      <c r="OY22" s="101"/>
      <c r="OZ22" s="101"/>
      <c r="PA22" s="101"/>
      <c r="PB22" s="101"/>
      <c r="PC22" s="101"/>
      <c r="PD22" s="101"/>
      <c r="PE22" s="101"/>
      <c r="PF22" s="101"/>
      <c r="PG22" s="101"/>
      <c r="PH22" s="101"/>
      <c r="PI22" s="101"/>
      <c r="PJ22" s="101"/>
      <c r="PK22" s="101"/>
      <c r="PL22" s="101"/>
      <c r="PM22" s="101"/>
      <c r="PN22" s="101"/>
      <c r="PO22" s="101"/>
      <c r="PP22" s="101"/>
      <c r="PQ22" s="101"/>
      <c r="PR22" s="101"/>
      <c r="PS22" s="101"/>
      <c r="PT22" s="101"/>
      <c r="PU22" s="101"/>
      <c r="PV22" s="101"/>
      <c r="PW22" s="101"/>
      <c r="PX22" s="101"/>
      <c r="PY22" s="101"/>
      <c r="PZ22" s="101"/>
      <c r="QA22" s="101"/>
      <c r="QB22" s="101"/>
      <c r="QC22" s="101"/>
      <c r="QD22" s="101"/>
      <c r="QE22" s="101"/>
      <c r="QF22" s="101"/>
      <c r="QG22" s="101"/>
      <c r="QH22" s="101"/>
      <c r="QI22" s="101"/>
      <c r="QJ22" s="101"/>
      <c r="QK22" s="101"/>
      <c r="QL22" s="101"/>
      <c r="QM22" s="101"/>
      <c r="QN22" s="101"/>
      <c r="QO22" s="101"/>
      <c r="QP22" s="101"/>
      <c r="QQ22" s="101"/>
      <c r="QR22" s="101"/>
      <c r="QS22" s="101"/>
      <c r="QT22" s="101"/>
      <c r="QU22" s="101"/>
      <c r="QV22" s="101"/>
      <c r="QW22" s="101"/>
      <c r="QX22" s="101"/>
      <c r="QY22" s="101"/>
      <c r="QZ22" s="101"/>
      <c r="RA22" s="101"/>
      <c r="RB22" s="101"/>
      <c r="RC22" s="101"/>
      <c r="RD22" s="101"/>
      <c r="RE22" s="101"/>
      <c r="RF22" s="101"/>
      <c r="RG22" s="101"/>
      <c r="RH22" s="101"/>
      <c r="RI22" s="101"/>
      <c r="RJ22" s="101"/>
      <c r="RK22" s="101"/>
      <c r="RL22" s="101"/>
      <c r="RM22" s="101"/>
      <c r="RN22" s="101"/>
      <c r="RO22" s="101"/>
      <c r="RP22" s="101"/>
      <c r="RQ22" s="101"/>
      <c r="RR22" s="101"/>
      <c r="RS22" s="101"/>
      <c r="RT22" s="101"/>
      <c r="RU22" s="101"/>
      <c r="RV22" s="101"/>
      <c r="RW22" s="101"/>
      <c r="RX22" s="101"/>
      <c r="RY22" s="101"/>
      <c r="RZ22" s="101"/>
      <c r="SA22" s="101"/>
      <c r="SB22" s="101"/>
      <c r="SC22" s="101"/>
      <c r="SD22" s="101"/>
      <c r="SE22" s="101"/>
      <c r="SF22" s="101"/>
      <c r="SG22" s="101"/>
      <c r="SH22" s="101"/>
      <c r="SI22" s="101"/>
      <c r="SJ22" s="101"/>
      <c r="SK22" s="101"/>
      <c r="SL22" s="101"/>
      <c r="SM22" s="101"/>
      <c r="SN22" s="101"/>
      <c r="SO22" s="101"/>
      <c r="SP22" s="101"/>
      <c r="SQ22" s="101"/>
      <c r="SR22" s="101"/>
      <c r="SS22" s="101"/>
      <c r="ST22" s="101"/>
      <c r="SU22" s="101"/>
      <c r="SV22" s="101"/>
      <c r="SW22" s="101"/>
      <c r="SX22" s="101"/>
      <c r="SY22" s="101"/>
      <c r="SZ22" s="101"/>
      <c r="TA22" s="101"/>
      <c r="TB22" s="101"/>
      <c r="TC22" s="101"/>
      <c r="TD22" s="101"/>
      <c r="TE22" s="101"/>
      <c r="TF22" s="101"/>
      <c r="TG22" s="101"/>
      <c r="TH22" s="101"/>
      <c r="TI22" s="101"/>
      <c r="TJ22" s="101"/>
      <c r="TK22" s="101"/>
      <c r="TL22" s="101"/>
      <c r="TM22" s="101"/>
      <c r="TN22" s="101"/>
      <c r="TO22" s="101"/>
      <c r="TP22" s="101"/>
      <c r="TQ22" s="101"/>
      <c r="TR22" s="101"/>
      <c r="TS22" s="101"/>
      <c r="TT22" s="101"/>
      <c r="TU22" s="101"/>
      <c r="TV22" s="101"/>
      <c r="TW22" s="101"/>
      <c r="TX22" s="101"/>
      <c r="TY22" s="101"/>
      <c r="TZ22" s="101"/>
      <c r="UA22" s="101"/>
      <c r="UB22" s="101"/>
      <c r="UC22" s="101"/>
      <c r="UD22" s="101"/>
      <c r="UE22" s="101"/>
      <c r="UF22" s="101"/>
      <c r="UG22" s="101"/>
      <c r="UH22" s="101"/>
      <c r="UI22" s="101"/>
      <c r="UJ22" s="101"/>
      <c r="UK22" s="101"/>
      <c r="UL22" s="101"/>
      <c r="UM22" s="101"/>
      <c r="UN22" s="101"/>
      <c r="UO22" s="101"/>
      <c r="UP22" s="101"/>
      <c r="UQ22" s="101"/>
      <c r="UR22" s="101"/>
      <c r="US22" s="101"/>
      <c r="UT22" s="101"/>
      <c r="UU22" s="101"/>
      <c r="UV22" s="101"/>
      <c r="UW22" s="101"/>
      <c r="UX22" s="101"/>
      <c r="UY22" s="101"/>
      <c r="UZ22" s="101"/>
      <c r="VA22" s="101"/>
      <c r="VB22" s="101"/>
      <c r="VC22" s="101"/>
      <c r="VD22" s="101"/>
      <c r="VE22" s="101"/>
      <c r="VF22" s="101"/>
      <c r="VG22" s="101"/>
      <c r="VH22" s="101"/>
      <c r="VI22" s="101"/>
      <c r="VJ22" s="101"/>
      <c r="VK22" s="101"/>
      <c r="VL22" s="101"/>
      <c r="VM22" s="101"/>
      <c r="VN22" s="101"/>
      <c r="VO22" s="101"/>
      <c r="VP22" s="101"/>
      <c r="VQ22" s="101"/>
      <c r="VR22" s="101"/>
      <c r="VS22" s="101"/>
      <c r="VT22" s="101"/>
      <c r="VU22" s="101"/>
      <c r="VV22" s="101"/>
      <c r="VW22" s="101"/>
      <c r="VX22" s="101"/>
      <c r="VY22" s="101"/>
      <c r="VZ22" s="101"/>
      <c r="WA22" s="101"/>
      <c r="WB22" s="101"/>
      <c r="WC22" s="101"/>
      <c r="WD22" s="101"/>
      <c r="WE22" s="101"/>
      <c r="WF22" s="101"/>
      <c r="WG22" s="101"/>
      <c r="WH22" s="101"/>
      <c r="WI22" s="101"/>
      <c r="WJ22" s="101"/>
      <c r="WK22" s="101"/>
      <c r="WL22" s="101"/>
      <c r="WM22" s="101"/>
      <c r="WN22" s="101"/>
      <c r="WO22" s="101"/>
      <c r="WP22" s="101"/>
      <c r="WQ22" s="101"/>
      <c r="WR22" s="101"/>
      <c r="WS22" s="101"/>
      <c r="WT22" s="101"/>
      <c r="WU22" s="101"/>
      <c r="WV22" s="101"/>
      <c r="WW22" s="101"/>
      <c r="WX22" s="101"/>
      <c r="WY22" s="101"/>
      <c r="WZ22" s="101"/>
      <c r="XA22" s="101"/>
      <c r="XB22" s="101"/>
      <c r="XC22" s="101"/>
      <c r="XD22" s="101"/>
      <c r="XE22" s="101"/>
      <c r="XF22" s="101"/>
      <c r="XG22" s="101"/>
      <c r="XH22" s="101"/>
      <c r="XI22" s="101"/>
      <c r="XJ22" s="101"/>
      <c r="XK22" s="101"/>
      <c r="XL22" s="101"/>
      <c r="XM22" s="101"/>
      <c r="XN22" s="101"/>
      <c r="XO22" s="101"/>
      <c r="XP22" s="101"/>
      <c r="XQ22" s="101"/>
      <c r="XR22" s="101"/>
      <c r="XS22" s="101"/>
      <c r="XT22" s="101"/>
      <c r="XU22" s="101"/>
      <c r="XV22" s="101"/>
      <c r="XW22" s="101"/>
      <c r="XX22" s="101"/>
      <c r="XY22" s="101"/>
      <c r="XZ22" s="101"/>
      <c r="YA22" s="101"/>
      <c r="YB22" s="101"/>
      <c r="YC22" s="101"/>
      <c r="YD22" s="101"/>
      <c r="YE22" s="101"/>
      <c r="YF22" s="101"/>
      <c r="YG22" s="101"/>
      <c r="YH22" s="101"/>
      <c r="YI22" s="101"/>
      <c r="YJ22" s="101"/>
      <c r="YK22" s="101"/>
      <c r="YL22" s="101"/>
      <c r="YM22" s="101"/>
      <c r="YN22" s="101"/>
      <c r="YO22" s="101"/>
      <c r="YP22" s="101"/>
      <c r="YQ22" s="101"/>
      <c r="YR22" s="101"/>
      <c r="YS22" s="101"/>
      <c r="YT22" s="101"/>
      <c r="YU22" s="101"/>
      <c r="YV22" s="101"/>
      <c r="YW22" s="101"/>
      <c r="YX22" s="101"/>
      <c r="YY22" s="101"/>
      <c r="YZ22" s="101"/>
      <c r="ZA22" s="101"/>
      <c r="ZB22" s="101"/>
      <c r="ZC22" s="101"/>
      <c r="ZD22" s="101"/>
      <c r="ZE22" s="101"/>
      <c r="ZF22" s="101"/>
      <c r="ZG22" s="101"/>
      <c r="ZH22" s="101"/>
      <c r="ZI22" s="101"/>
      <c r="ZJ22" s="101"/>
      <c r="ZK22" s="101"/>
      <c r="ZL22" s="101"/>
      <c r="ZM22" s="101"/>
      <c r="ZN22" s="101"/>
      <c r="ZO22" s="101"/>
      <c r="ZP22" s="101"/>
      <c r="ZQ22" s="101"/>
      <c r="ZR22" s="101"/>
      <c r="ZS22" s="101"/>
      <c r="ZT22" s="101"/>
      <c r="ZU22" s="101"/>
      <c r="ZV22" s="101"/>
      <c r="ZW22" s="101"/>
      <c r="ZX22" s="101"/>
      <c r="ZY22" s="101"/>
      <c r="ZZ22" s="101"/>
      <c r="AAA22" s="101"/>
      <c r="AAB22" s="101"/>
      <c r="AAC22" s="101"/>
      <c r="AAD22" s="101"/>
      <c r="AAE22" s="101"/>
      <c r="AAF22" s="101"/>
      <c r="AAG22" s="101"/>
      <c r="AAH22" s="101"/>
      <c r="AAI22" s="101"/>
      <c r="AAJ22" s="101"/>
      <c r="AAK22" s="101"/>
      <c r="AAL22" s="101"/>
      <c r="AAM22" s="101"/>
      <c r="AAN22" s="101"/>
      <c r="AAO22" s="101"/>
      <c r="AAP22" s="101"/>
      <c r="AAQ22" s="101"/>
      <c r="AAR22" s="101"/>
      <c r="AAS22" s="101"/>
      <c r="AAT22" s="101"/>
      <c r="AAU22" s="101"/>
      <c r="AAV22" s="101"/>
      <c r="AAW22" s="101"/>
      <c r="AAX22" s="101"/>
      <c r="AAY22" s="101"/>
      <c r="AAZ22" s="101"/>
      <c r="ABA22" s="101"/>
      <c r="ABB22" s="101"/>
      <c r="ABC22" s="101"/>
      <c r="ABD22" s="101"/>
      <c r="ABE22" s="101"/>
      <c r="ABF22" s="101"/>
      <c r="ABG22" s="101"/>
      <c r="ABH22" s="101"/>
      <c r="ABI22" s="101"/>
      <c r="ABJ22" s="101"/>
      <c r="ABK22" s="101"/>
      <c r="ABL22" s="101"/>
      <c r="ABM22" s="101"/>
      <c r="ABN22" s="101"/>
      <c r="ABO22" s="101"/>
      <c r="ABP22" s="101"/>
      <c r="ABQ22" s="101"/>
      <c r="ABR22" s="101"/>
      <c r="ABS22" s="101"/>
      <c r="ABT22" s="101"/>
      <c r="ABU22" s="101"/>
      <c r="ABV22" s="101"/>
      <c r="ABW22" s="101"/>
      <c r="ABX22" s="101"/>
      <c r="ABY22" s="101"/>
      <c r="ABZ22" s="101"/>
      <c r="ACA22" s="101"/>
      <c r="ACB22" s="101"/>
      <c r="ACC22" s="101"/>
      <c r="ACD22" s="101"/>
      <c r="ACE22" s="101"/>
      <c r="ACF22" s="101"/>
      <c r="ACG22" s="101"/>
      <c r="ACH22" s="101"/>
      <c r="ACI22" s="101"/>
      <c r="ACJ22" s="101"/>
      <c r="ACK22" s="101"/>
      <c r="ACL22" s="101"/>
      <c r="ACM22" s="101"/>
      <c r="ACN22" s="101"/>
      <c r="ACO22" s="101"/>
      <c r="ACP22" s="101"/>
      <c r="ACQ22" s="101"/>
      <c r="ACR22" s="101"/>
      <c r="ACS22" s="101"/>
      <c r="ACT22" s="101"/>
      <c r="ACU22" s="101"/>
      <c r="ACV22" s="101"/>
      <c r="ACW22" s="101"/>
      <c r="ACX22" s="101"/>
      <c r="ACY22" s="101"/>
      <c r="ACZ22" s="101"/>
      <c r="ADA22" s="101"/>
      <c r="ADB22" s="101"/>
      <c r="ADC22" s="101"/>
      <c r="ADD22" s="101"/>
      <c r="ADE22" s="101"/>
      <c r="ADF22" s="101"/>
      <c r="ADG22" s="101"/>
      <c r="ADH22" s="101"/>
      <c r="ADI22" s="101"/>
      <c r="ADJ22" s="101"/>
      <c r="ADK22" s="101"/>
      <c r="ADL22" s="101"/>
      <c r="ADM22" s="101"/>
      <c r="ADN22" s="101"/>
      <c r="ADO22" s="101"/>
      <c r="ADP22" s="101"/>
      <c r="ADQ22" s="101"/>
      <c r="ADR22" s="101"/>
      <c r="ADS22" s="101"/>
      <c r="ADT22" s="101"/>
      <c r="ADU22" s="101"/>
      <c r="ADV22" s="101"/>
      <c r="ADW22" s="101"/>
      <c r="ADX22" s="101"/>
      <c r="ADY22" s="101"/>
      <c r="ADZ22" s="101"/>
      <c r="AEA22" s="101"/>
      <c r="AEB22" s="101"/>
      <c r="AEC22" s="101"/>
      <c r="AED22" s="101"/>
      <c r="AEE22" s="101"/>
      <c r="AEF22" s="101"/>
      <c r="AEG22" s="101"/>
      <c r="AEH22" s="101"/>
      <c r="AEI22" s="101"/>
      <c r="AEJ22" s="101"/>
      <c r="AEK22" s="101"/>
      <c r="AEL22" s="101"/>
      <c r="AEM22" s="101"/>
      <c r="AEN22" s="101"/>
      <c r="AEO22" s="101"/>
      <c r="AEP22" s="101"/>
      <c r="AEQ22" s="101"/>
      <c r="AER22" s="101"/>
      <c r="AES22" s="101"/>
      <c r="AET22" s="101"/>
      <c r="AEU22" s="101"/>
      <c r="AEV22" s="101"/>
      <c r="AEW22" s="101"/>
      <c r="AEX22" s="101"/>
      <c r="AEY22" s="101"/>
      <c r="AEZ22" s="101"/>
      <c r="AFA22" s="101"/>
      <c r="AFB22" s="101"/>
      <c r="AFC22" s="101"/>
      <c r="AFD22" s="101"/>
      <c r="AFE22" s="101"/>
      <c r="AFF22" s="101"/>
      <c r="AFG22" s="101"/>
      <c r="AFH22" s="101"/>
      <c r="AFI22" s="101"/>
      <c r="AFJ22" s="101"/>
      <c r="AFK22" s="101"/>
      <c r="AFL22" s="101"/>
      <c r="AFM22" s="101"/>
      <c r="AFN22" s="101"/>
      <c r="AFO22" s="101"/>
      <c r="AFP22" s="101"/>
      <c r="AFQ22" s="101"/>
      <c r="AFR22" s="101"/>
      <c r="AFS22" s="101"/>
      <c r="AFT22" s="101"/>
      <c r="AFU22" s="101"/>
      <c r="AFV22" s="101"/>
      <c r="AFW22" s="101"/>
      <c r="AFX22" s="101"/>
      <c r="AFY22" s="101"/>
      <c r="AFZ22" s="101"/>
      <c r="AGA22" s="101"/>
      <c r="AGB22" s="101"/>
      <c r="AGC22" s="101"/>
      <c r="AGD22" s="101"/>
      <c r="AGE22" s="101"/>
      <c r="AGF22" s="101"/>
      <c r="AGG22" s="101"/>
      <c r="AGH22" s="101"/>
      <c r="AGI22" s="101"/>
      <c r="AGJ22" s="101"/>
      <c r="AGK22" s="101"/>
      <c r="AGL22" s="101"/>
      <c r="AGM22" s="101"/>
      <c r="AGN22" s="101"/>
      <c r="AGO22" s="101"/>
      <c r="AGP22" s="101"/>
      <c r="AGQ22" s="101"/>
      <c r="AGR22" s="101"/>
      <c r="AGS22" s="101"/>
      <c r="AGT22" s="101"/>
      <c r="AGU22" s="101"/>
      <c r="AGV22" s="101"/>
      <c r="AGW22" s="101"/>
      <c r="AGX22" s="101"/>
      <c r="AGY22" s="101"/>
      <c r="AGZ22" s="101"/>
      <c r="AHA22" s="101"/>
      <c r="AHB22" s="101"/>
      <c r="AHC22" s="101"/>
      <c r="AHD22" s="101"/>
      <c r="AHE22" s="101"/>
      <c r="AHF22" s="101"/>
      <c r="AHG22" s="101"/>
      <c r="AHH22" s="101"/>
      <c r="AHI22" s="101"/>
      <c r="AHJ22" s="101"/>
      <c r="AHK22" s="101"/>
      <c r="AHL22" s="101"/>
      <c r="AHM22" s="101"/>
      <c r="AHN22" s="101"/>
      <c r="AHO22" s="101"/>
      <c r="AHP22" s="101"/>
      <c r="AHQ22" s="101"/>
      <c r="AHR22" s="101"/>
      <c r="AHS22" s="101"/>
      <c r="AHT22" s="101"/>
      <c r="AHU22" s="101"/>
      <c r="AHV22" s="101"/>
      <c r="AHW22" s="101"/>
      <c r="AHX22" s="101"/>
      <c r="AHY22" s="101"/>
      <c r="AHZ22" s="101"/>
      <c r="AIA22" s="101"/>
      <c r="AIB22" s="101"/>
      <c r="AIC22" s="101"/>
      <c r="AID22" s="101"/>
      <c r="AIE22" s="101"/>
      <c r="AIF22" s="101"/>
      <c r="AIG22" s="101"/>
      <c r="AIH22" s="101"/>
      <c r="AII22" s="101"/>
      <c r="AIJ22" s="101"/>
      <c r="AIK22" s="101"/>
      <c r="AIL22" s="101"/>
      <c r="AIM22" s="101"/>
      <c r="AIN22" s="101"/>
      <c r="AIO22" s="101"/>
      <c r="AIP22" s="101"/>
      <c r="AIQ22" s="101"/>
      <c r="AIR22" s="101"/>
      <c r="AIS22" s="101"/>
      <c r="AIT22" s="101"/>
      <c r="AIU22" s="101"/>
      <c r="AIV22" s="101"/>
      <c r="AIW22" s="101"/>
      <c r="AIX22" s="101"/>
      <c r="AIY22" s="101"/>
      <c r="AIZ22" s="101"/>
      <c r="AJA22" s="101"/>
      <c r="AJB22" s="101"/>
      <c r="AJC22" s="101"/>
      <c r="AJD22" s="101"/>
      <c r="AJE22" s="101"/>
      <c r="AJF22" s="101"/>
      <c r="AJG22" s="101"/>
      <c r="AJH22" s="101"/>
      <c r="AJI22" s="101"/>
      <c r="AJJ22" s="101"/>
      <c r="AJK22" s="101"/>
      <c r="AJL22" s="101"/>
      <c r="AJM22" s="101"/>
      <c r="AJN22" s="101"/>
      <c r="AJO22" s="101"/>
      <c r="AJP22" s="101"/>
      <c r="AJQ22" s="101"/>
      <c r="AJR22" s="101"/>
      <c r="AJS22" s="101"/>
      <c r="AJT22" s="101"/>
      <c r="AJU22" s="101"/>
      <c r="AJV22" s="101"/>
      <c r="AJW22" s="101"/>
      <c r="AJX22" s="101"/>
      <c r="AJY22" s="101"/>
      <c r="AJZ22" s="101"/>
      <c r="AKA22" s="101"/>
      <c r="AKB22" s="101"/>
      <c r="AKC22" s="101"/>
      <c r="AKD22" s="101"/>
      <c r="AKE22" s="101"/>
      <c r="AKF22" s="101"/>
      <c r="AKG22" s="101"/>
      <c r="AKH22" s="101"/>
      <c r="AKI22" s="101"/>
      <c r="AKJ22" s="101"/>
      <c r="AKK22" s="101"/>
      <c r="AKL22" s="101"/>
      <c r="AKM22" s="101"/>
      <c r="AKN22" s="101"/>
      <c r="AKO22" s="101"/>
      <c r="AKP22" s="101"/>
      <c r="AKQ22" s="101"/>
      <c r="AKR22" s="101"/>
      <c r="AKS22" s="101"/>
      <c r="AKT22" s="101"/>
      <c r="AKU22" s="101"/>
      <c r="AKV22" s="101"/>
      <c r="AKW22" s="101"/>
      <c r="AKX22" s="101"/>
      <c r="AKY22" s="101"/>
      <c r="AKZ22" s="101"/>
      <c r="ALA22" s="101"/>
      <c r="ALB22" s="101"/>
      <c r="ALC22" s="101"/>
      <c r="ALD22" s="101"/>
      <c r="ALE22" s="101"/>
      <c r="ALF22" s="101"/>
      <c r="ALG22" s="101"/>
      <c r="ALH22" s="101"/>
      <c r="ALI22" s="101"/>
      <c r="ALJ22" s="101"/>
      <c r="ALK22" s="101"/>
      <c r="ALL22" s="101"/>
      <c r="ALM22" s="101"/>
      <c r="ALN22" s="101"/>
      <c r="ALO22" s="101"/>
      <c r="ALP22" s="101"/>
      <c r="ALQ22" s="101"/>
      <c r="ALR22" s="101"/>
      <c r="ALS22" s="101"/>
      <c r="ALT22" s="101"/>
      <c r="ALU22" s="101"/>
      <c r="ALV22" s="101"/>
      <c r="ALW22" s="101"/>
      <c r="ALX22" s="101"/>
      <c r="ALY22" s="101"/>
      <c r="ALZ22" s="101"/>
      <c r="AMA22" s="101"/>
      <c r="AMB22" s="101"/>
      <c r="AMC22" s="101"/>
      <c r="AMD22" s="101"/>
      <c r="AME22" s="101"/>
      <c r="AMF22" s="101"/>
      <c r="AMG22" s="101"/>
      <c r="AMH22" s="101"/>
      <c r="AMI22" s="101"/>
      <c r="AMJ22" s="101"/>
      <c r="AMK22" s="101"/>
      <c r="AML22" s="101"/>
      <c r="AMM22" s="101"/>
      <c r="AMN22" s="101"/>
      <c r="AMO22" s="101"/>
      <c r="AMP22" s="101"/>
      <c r="AMQ22" s="101"/>
      <c r="AMR22" s="101"/>
      <c r="AMS22" s="101"/>
      <c r="AMT22" s="101"/>
      <c r="AMU22" s="101"/>
      <c r="AMV22" s="101"/>
      <c r="AMW22" s="101"/>
      <c r="AMX22" s="101"/>
      <c r="AMY22" s="101"/>
      <c r="AMZ22" s="101"/>
      <c r="ANA22" s="101"/>
      <c r="ANB22" s="101"/>
      <c r="ANC22" s="101"/>
      <c r="AND22" s="101"/>
      <c r="ANE22" s="101"/>
      <c r="ANF22" s="101"/>
      <c r="ANG22" s="101"/>
      <c r="ANH22" s="101"/>
      <c r="ANI22" s="101"/>
      <c r="ANJ22" s="101"/>
      <c r="ANK22" s="101"/>
      <c r="ANL22" s="101"/>
      <c r="ANM22" s="101"/>
      <c r="ANN22" s="101"/>
      <c r="ANO22" s="101"/>
      <c r="ANP22" s="101"/>
      <c r="ANQ22" s="101"/>
      <c r="ANR22" s="101"/>
      <c r="ANS22" s="101"/>
      <c r="ANT22" s="101"/>
      <c r="ANU22" s="101"/>
      <c r="ANV22" s="101"/>
      <c r="ANW22" s="101"/>
      <c r="ANX22" s="101"/>
      <c r="ANY22" s="101"/>
      <c r="ANZ22" s="101"/>
      <c r="AOA22" s="101"/>
      <c r="AOB22" s="101"/>
      <c r="AOC22" s="101"/>
      <c r="AOD22" s="101"/>
      <c r="AOE22" s="101"/>
      <c r="AOF22" s="101"/>
      <c r="AOG22" s="101"/>
      <c r="AOH22" s="101"/>
      <c r="AOI22" s="101"/>
      <c r="AOJ22" s="101"/>
      <c r="AOK22" s="101"/>
      <c r="AOL22" s="101"/>
      <c r="AOM22" s="101"/>
      <c r="AON22" s="101"/>
      <c r="AOO22" s="101"/>
      <c r="AOP22" s="101"/>
      <c r="AOQ22" s="101"/>
      <c r="AOR22" s="101"/>
      <c r="AOS22" s="101"/>
      <c r="AOT22" s="101"/>
      <c r="AOU22" s="101"/>
      <c r="AOV22" s="101"/>
      <c r="AOW22" s="101"/>
      <c r="AOX22" s="101"/>
      <c r="AOY22" s="101"/>
      <c r="AOZ22" s="101"/>
      <c r="APA22" s="101"/>
      <c r="APB22" s="101"/>
      <c r="APC22" s="101"/>
      <c r="APD22" s="101"/>
      <c r="APE22" s="101"/>
      <c r="APF22" s="101"/>
      <c r="APG22" s="101"/>
      <c r="APH22" s="101"/>
      <c r="API22" s="101"/>
      <c r="APJ22" s="101"/>
      <c r="APK22" s="101"/>
      <c r="APL22" s="101"/>
      <c r="APM22" s="101"/>
      <c r="APN22" s="101"/>
      <c r="APO22" s="101"/>
      <c r="APP22" s="101"/>
      <c r="APQ22" s="101"/>
      <c r="APR22" s="101"/>
      <c r="APS22" s="101"/>
      <c r="APT22" s="101"/>
      <c r="APU22" s="101"/>
      <c r="APV22" s="101"/>
      <c r="APW22" s="101"/>
      <c r="APX22" s="101"/>
      <c r="APY22" s="101"/>
      <c r="APZ22" s="101"/>
      <c r="AQA22" s="101"/>
      <c r="AQB22" s="101"/>
      <c r="AQC22" s="101"/>
      <c r="AQD22" s="101"/>
      <c r="AQE22" s="101"/>
      <c r="AQF22" s="101"/>
      <c r="AQG22" s="101"/>
      <c r="AQH22" s="101"/>
      <c r="AQI22" s="101"/>
      <c r="AQJ22" s="101"/>
      <c r="AQK22" s="101"/>
      <c r="AQL22" s="101"/>
      <c r="AQM22" s="101"/>
      <c r="AQN22" s="101"/>
      <c r="AQO22" s="101"/>
      <c r="AQP22" s="101"/>
      <c r="AQQ22" s="101"/>
      <c r="AQR22" s="101"/>
      <c r="AQS22" s="101"/>
      <c r="AQT22" s="101"/>
      <c r="AQU22" s="101"/>
      <c r="AQV22" s="101"/>
      <c r="AQW22" s="101"/>
      <c r="AQX22" s="101"/>
      <c r="AQY22" s="101"/>
      <c r="AQZ22" s="101"/>
      <c r="ARA22" s="101"/>
      <c r="ARB22" s="101"/>
      <c r="ARC22" s="101"/>
      <c r="ARD22" s="101"/>
      <c r="ARE22" s="101"/>
      <c r="ARF22" s="101"/>
      <c r="ARG22" s="101"/>
      <c r="ARH22" s="101"/>
      <c r="ARI22" s="101"/>
      <c r="ARJ22" s="101"/>
      <c r="ARK22" s="101"/>
      <c r="ARL22" s="101"/>
      <c r="ARM22" s="101"/>
      <c r="ARN22" s="101"/>
      <c r="ARO22" s="101"/>
      <c r="ARP22" s="101"/>
      <c r="ARQ22" s="101"/>
      <c r="ARR22" s="101"/>
      <c r="ARS22" s="101"/>
      <c r="ART22" s="101"/>
      <c r="ARU22" s="101"/>
      <c r="ARV22" s="101"/>
      <c r="ARW22" s="101"/>
      <c r="ARX22" s="101"/>
      <c r="ARY22" s="101"/>
      <c r="ARZ22" s="101"/>
      <c r="ASA22" s="101"/>
      <c r="ASB22" s="101"/>
      <c r="ASC22" s="101"/>
      <c r="ASD22" s="101"/>
      <c r="ASE22" s="101"/>
      <c r="ASF22" s="101"/>
      <c r="ASG22" s="101"/>
      <c r="ASH22" s="101"/>
      <c r="ASI22" s="101"/>
      <c r="ASJ22" s="101"/>
      <c r="ASK22" s="101"/>
      <c r="ASL22" s="101"/>
      <c r="ASM22" s="101"/>
      <c r="ASN22" s="101"/>
      <c r="ASO22" s="101"/>
      <c r="ASP22" s="101"/>
      <c r="ASQ22" s="101"/>
      <c r="ASR22" s="101"/>
      <c r="ASS22" s="101"/>
      <c r="AST22" s="101"/>
      <c r="ASU22" s="101"/>
      <c r="ASV22" s="101"/>
      <c r="ASW22" s="101"/>
      <c r="ASX22" s="101"/>
      <c r="ASY22" s="101"/>
      <c r="ASZ22" s="101"/>
      <c r="ATA22" s="101"/>
      <c r="ATB22" s="101"/>
      <c r="ATC22" s="101"/>
      <c r="ATD22" s="101"/>
      <c r="ATE22" s="101"/>
      <c r="ATF22" s="101"/>
      <c r="ATG22" s="101"/>
      <c r="ATH22" s="101"/>
      <c r="ATI22" s="101"/>
      <c r="ATJ22" s="101"/>
      <c r="ATK22" s="101"/>
      <c r="ATL22" s="101"/>
      <c r="ATM22" s="101"/>
      <c r="ATN22" s="101"/>
      <c r="ATO22" s="101"/>
      <c r="ATP22" s="101"/>
      <c r="ATQ22" s="101"/>
      <c r="ATR22" s="101"/>
      <c r="ATS22" s="101"/>
      <c r="ATT22" s="101"/>
      <c r="ATU22" s="101"/>
      <c r="ATV22" s="101"/>
      <c r="ATW22" s="101"/>
      <c r="ATX22" s="101"/>
      <c r="ATY22" s="101"/>
      <c r="ATZ22" s="101"/>
      <c r="AUA22" s="101"/>
      <c r="AUB22" s="101"/>
      <c r="AUC22" s="101"/>
      <c r="AUD22" s="101"/>
      <c r="AUE22" s="101"/>
      <c r="AUF22" s="101"/>
      <c r="AUG22" s="101"/>
      <c r="AUH22" s="101"/>
      <c r="AUI22" s="101"/>
      <c r="AUJ22" s="101"/>
      <c r="AUK22" s="101"/>
      <c r="AUL22" s="101"/>
      <c r="AUM22" s="101"/>
      <c r="AUN22" s="101"/>
      <c r="AUO22" s="101"/>
      <c r="AUP22" s="101"/>
      <c r="AUQ22" s="101"/>
      <c r="AUR22" s="101"/>
      <c r="AUS22" s="101"/>
      <c r="AUT22" s="101"/>
      <c r="AUU22" s="101"/>
      <c r="AUV22" s="101"/>
      <c r="AUW22" s="101"/>
      <c r="AUX22" s="101"/>
      <c r="AUY22" s="101"/>
      <c r="AUZ22" s="101"/>
      <c r="AVA22" s="101"/>
      <c r="AVB22" s="101"/>
      <c r="AVC22" s="101"/>
      <c r="AVD22" s="101"/>
      <c r="AVE22" s="101"/>
      <c r="AVF22" s="101"/>
      <c r="AVG22" s="101"/>
      <c r="AVH22" s="101"/>
      <c r="AVI22" s="101"/>
      <c r="AVJ22" s="101"/>
      <c r="AVK22" s="101"/>
      <c r="AVL22" s="101"/>
      <c r="AVM22" s="101"/>
      <c r="AVN22" s="101"/>
      <c r="AVO22" s="101"/>
      <c r="AVP22" s="101"/>
      <c r="AVQ22" s="101"/>
      <c r="AVR22" s="101"/>
      <c r="AVS22" s="101"/>
      <c r="AVT22" s="101"/>
      <c r="AVU22" s="101"/>
      <c r="AVV22" s="101"/>
      <c r="AVW22" s="101"/>
      <c r="AVX22" s="101"/>
      <c r="AVY22" s="101"/>
      <c r="AVZ22" s="101"/>
      <c r="AWA22" s="101"/>
      <c r="AWB22" s="101"/>
      <c r="AWC22" s="101"/>
      <c r="AWD22" s="101"/>
      <c r="AWE22" s="101"/>
      <c r="AWF22" s="101"/>
      <c r="AWG22" s="101"/>
      <c r="AWH22" s="101"/>
      <c r="AWI22" s="101"/>
      <c r="AWJ22" s="101"/>
      <c r="AWK22" s="101"/>
      <c r="AWL22" s="101"/>
      <c r="AWM22" s="101"/>
      <c r="AWN22" s="101"/>
      <c r="AWO22" s="101"/>
      <c r="AWP22" s="101"/>
      <c r="AWQ22" s="101"/>
      <c r="AWR22" s="101"/>
      <c r="AWS22" s="101"/>
      <c r="AWT22" s="101"/>
      <c r="AWU22" s="101"/>
      <c r="AWV22" s="101"/>
      <c r="AWW22" s="101"/>
      <c r="AWX22" s="101"/>
      <c r="AWY22" s="101"/>
      <c r="AWZ22" s="101"/>
      <c r="AXA22" s="101"/>
      <c r="AXB22" s="101"/>
      <c r="AXC22" s="101"/>
      <c r="AXD22" s="101"/>
      <c r="AXE22" s="101"/>
      <c r="AXF22" s="101"/>
      <c r="AXG22" s="101"/>
      <c r="AXH22" s="101"/>
      <c r="AXI22" s="101"/>
      <c r="AXJ22" s="101"/>
      <c r="AXK22" s="101"/>
      <c r="AXL22" s="101"/>
      <c r="AXM22" s="101"/>
      <c r="AXN22" s="101"/>
      <c r="AXO22" s="101"/>
      <c r="AXP22" s="101"/>
      <c r="AXQ22" s="101"/>
      <c r="AXR22" s="101"/>
      <c r="AXS22" s="101"/>
      <c r="AXT22" s="101"/>
      <c r="AXU22" s="101"/>
      <c r="AXV22" s="101"/>
      <c r="AXW22" s="101"/>
      <c r="AXX22" s="101"/>
      <c r="AXY22" s="101"/>
      <c r="AXZ22" s="101"/>
      <c r="AYA22" s="101"/>
      <c r="AYB22" s="101"/>
      <c r="AYC22" s="101"/>
      <c r="AYD22" s="101"/>
      <c r="AYE22" s="101"/>
      <c r="AYF22" s="101"/>
      <c r="AYG22" s="101"/>
      <c r="AYH22" s="101"/>
      <c r="AYI22" s="101"/>
      <c r="AYJ22" s="101"/>
      <c r="AYK22" s="101"/>
      <c r="AYL22" s="101"/>
      <c r="AYM22" s="101"/>
      <c r="AYN22" s="101"/>
      <c r="AYO22" s="101"/>
      <c r="AYP22" s="101"/>
      <c r="AYQ22" s="101"/>
      <c r="AYR22" s="101"/>
      <c r="AYS22" s="101"/>
      <c r="AYT22" s="101"/>
      <c r="AYU22" s="101"/>
      <c r="AYV22" s="101"/>
      <c r="AYW22" s="101"/>
      <c r="AYX22" s="101"/>
      <c r="AYY22" s="101"/>
      <c r="AYZ22" s="101"/>
      <c r="AZA22" s="101"/>
      <c r="AZB22" s="101"/>
      <c r="AZC22" s="101"/>
      <c r="AZD22" s="101"/>
      <c r="AZE22" s="101"/>
      <c r="AZF22" s="101"/>
      <c r="AZG22" s="101"/>
      <c r="AZH22" s="101"/>
      <c r="AZI22" s="101"/>
      <c r="AZJ22" s="101"/>
      <c r="AZK22" s="101"/>
      <c r="AZL22" s="101"/>
      <c r="AZM22" s="101"/>
      <c r="AZN22" s="101"/>
      <c r="AZO22" s="101"/>
      <c r="AZP22" s="101"/>
      <c r="AZQ22" s="101"/>
      <c r="AZR22" s="101"/>
      <c r="AZS22" s="101"/>
      <c r="AZT22" s="101"/>
      <c r="AZU22" s="101"/>
      <c r="AZV22" s="101"/>
      <c r="AZW22" s="101"/>
      <c r="AZX22" s="101"/>
      <c r="AZY22" s="101"/>
      <c r="AZZ22" s="101"/>
      <c r="BAA22" s="101"/>
      <c r="BAB22" s="101"/>
      <c r="BAC22" s="101"/>
      <c r="BAD22" s="101"/>
      <c r="BAE22" s="101"/>
      <c r="BAF22" s="101"/>
      <c r="BAG22" s="101"/>
      <c r="BAH22" s="101"/>
      <c r="BAI22" s="101"/>
      <c r="BAJ22" s="101"/>
      <c r="BAK22" s="101"/>
      <c r="BAL22" s="101"/>
      <c r="BAM22" s="101"/>
      <c r="BAN22" s="101"/>
      <c r="BAO22" s="101"/>
      <c r="BAP22" s="101"/>
      <c r="BAQ22" s="101"/>
      <c r="BAR22" s="101"/>
      <c r="BAS22" s="101"/>
      <c r="BAT22" s="101"/>
      <c r="BAU22" s="101"/>
      <c r="BAV22" s="101"/>
      <c r="BAW22" s="101"/>
      <c r="BAX22" s="101"/>
      <c r="BAY22" s="101"/>
      <c r="BAZ22" s="101"/>
      <c r="BBA22" s="101"/>
      <c r="BBB22" s="101"/>
      <c r="BBC22" s="101"/>
      <c r="BBD22" s="101"/>
      <c r="BBE22" s="101"/>
      <c r="BBF22" s="101"/>
      <c r="BBG22" s="101"/>
      <c r="BBH22" s="101"/>
      <c r="BBI22" s="101"/>
      <c r="BBJ22" s="101"/>
      <c r="BBK22" s="101"/>
      <c r="BBL22" s="101"/>
      <c r="BBM22" s="101"/>
      <c r="BBN22" s="101"/>
      <c r="BBO22" s="101"/>
      <c r="BBP22" s="101"/>
      <c r="BBQ22" s="101"/>
      <c r="BBR22" s="101"/>
      <c r="BBS22" s="101"/>
      <c r="BBT22" s="101"/>
      <c r="BBU22" s="101"/>
      <c r="BBV22" s="101"/>
      <c r="BBW22" s="101"/>
      <c r="BBX22" s="101"/>
      <c r="BBY22" s="101"/>
      <c r="BBZ22" s="101"/>
      <c r="BCA22" s="101"/>
      <c r="BCB22" s="101"/>
      <c r="BCC22" s="101"/>
      <c r="BCD22" s="101"/>
      <c r="BCE22" s="101"/>
      <c r="BCF22" s="101"/>
      <c r="BCG22" s="101"/>
      <c r="BCH22" s="101"/>
      <c r="BCI22" s="101"/>
      <c r="BCJ22" s="101"/>
      <c r="BCK22" s="101"/>
      <c r="BCL22" s="101"/>
      <c r="BCM22" s="101"/>
      <c r="BCN22" s="101"/>
      <c r="BCO22" s="101"/>
      <c r="BCP22" s="101"/>
      <c r="BCQ22" s="101"/>
      <c r="BCR22" s="101"/>
      <c r="BCS22" s="101"/>
      <c r="BCT22" s="101"/>
      <c r="BCU22" s="101"/>
      <c r="BCV22" s="101"/>
      <c r="BCW22" s="101"/>
      <c r="BCX22" s="101"/>
      <c r="BCY22" s="101"/>
      <c r="BCZ22" s="101"/>
      <c r="BDA22" s="101"/>
      <c r="BDB22" s="101"/>
      <c r="BDC22" s="101"/>
      <c r="BDD22" s="101"/>
      <c r="BDE22" s="101"/>
      <c r="BDF22" s="101"/>
      <c r="BDG22" s="101"/>
      <c r="BDH22" s="101"/>
      <c r="BDI22" s="101"/>
      <c r="BDJ22" s="101"/>
      <c r="BDK22" s="101"/>
      <c r="BDL22" s="101"/>
      <c r="BDM22" s="101"/>
      <c r="BDN22" s="101"/>
      <c r="BDO22" s="101"/>
      <c r="BDP22" s="101"/>
      <c r="BDQ22" s="101"/>
      <c r="BDR22" s="101"/>
      <c r="BDS22" s="101"/>
      <c r="BDT22" s="101"/>
      <c r="BDU22" s="101"/>
      <c r="BDV22" s="101"/>
      <c r="BDW22" s="101"/>
      <c r="BDX22" s="101"/>
      <c r="BDY22" s="101"/>
      <c r="BDZ22" s="101"/>
      <c r="BEA22" s="101"/>
      <c r="BEB22" s="101"/>
      <c r="BEC22" s="101"/>
      <c r="BED22" s="101"/>
      <c r="BEE22" s="101"/>
      <c r="BEF22" s="101"/>
      <c r="BEG22" s="101"/>
      <c r="BEH22" s="101"/>
      <c r="BEI22" s="101"/>
      <c r="BEJ22" s="101"/>
      <c r="BEK22" s="101"/>
      <c r="BEL22" s="101"/>
      <c r="BEM22" s="101"/>
      <c r="BEN22" s="101"/>
      <c r="BEO22" s="101"/>
      <c r="BEP22" s="101"/>
      <c r="BEQ22" s="101"/>
      <c r="BER22" s="101"/>
      <c r="BES22" s="101"/>
      <c r="BET22" s="101"/>
      <c r="BEU22" s="101"/>
      <c r="BEV22" s="101"/>
      <c r="BEW22" s="101"/>
      <c r="BEX22" s="101"/>
      <c r="BEY22" s="101"/>
      <c r="BEZ22" s="101"/>
      <c r="BFA22" s="101"/>
      <c r="BFB22" s="101"/>
      <c r="BFC22" s="101"/>
      <c r="BFD22" s="101"/>
      <c r="BFE22" s="101"/>
      <c r="BFF22" s="101"/>
      <c r="BFG22" s="101"/>
      <c r="BFH22" s="101"/>
      <c r="BFI22" s="101"/>
      <c r="BFJ22" s="101"/>
      <c r="BFK22" s="101"/>
      <c r="BFL22" s="101"/>
      <c r="BFM22" s="101"/>
      <c r="BFN22" s="101"/>
      <c r="BFO22" s="101"/>
      <c r="BFP22" s="101"/>
      <c r="BFQ22" s="101"/>
      <c r="BFR22" s="101"/>
      <c r="BFS22" s="101"/>
      <c r="BFT22" s="101"/>
      <c r="BFU22" s="101"/>
      <c r="BFV22" s="101"/>
      <c r="BFW22" s="101"/>
      <c r="BFX22" s="101"/>
      <c r="BFY22" s="101"/>
      <c r="BFZ22" s="101"/>
      <c r="BGA22" s="101"/>
      <c r="BGB22" s="101"/>
      <c r="BGC22" s="101"/>
      <c r="BGD22" s="101"/>
      <c r="BGE22" s="101"/>
      <c r="BGF22" s="101"/>
      <c r="BGG22" s="101"/>
      <c r="BGH22" s="101"/>
      <c r="BGI22" s="101"/>
      <c r="BGJ22" s="101"/>
      <c r="BGK22" s="101"/>
      <c r="BGL22" s="101"/>
      <c r="BGM22" s="101"/>
      <c r="BGN22" s="101"/>
      <c r="BGO22" s="101"/>
      <c r="BGP22" s="101"/>
      <c r="BGQ22" s="101"/>
      <c r="BGR22" s="101"/>
      <c r="BGS22" s="101"/>
      <c r="BGT22" s="101"/>
      <c r="BGU22" s="101"/>
      <c r="BGV22" s="101"/>
      <c r="BGW22" s="101"/>
      <c r="BGX22" s="101"/>
      <c r="BGY22" s="101"/>
      <c r="BGZ22" s="101"/>
      <c r="BHA22" s="101"/>
      <c r="BHB22" s="101"/>
      <c r="BHC22" s="101"/>
      <c r="BHD22" s="101"/>
      <c r="BHE22" s="101"/>
      <c r="BHF22" s="101"/>
      <c r="BHG22" s="101"/>
      <c r="BHH22" s="101"/>
      <c r="BHI22" s="101"/>
      <c r="BHJ22" s="101"/>
      <c r="BHK22" s="101"/>
      <c r="BHL22" s="101"/>
      <c r="BHM22" s="101"/>
      <c r="BHN22" s="101"/>
      <c r="BHO22" s="101"/>
      <c r="BHP22" s="101"/>
      <c r="BHQ22" s="101"/>
      <c r="BHR22" s="101"/>
      <c r="BHS22" s="101"/>
      <c r="BHT22" s="101"/>
      <c r="BHU22" s="101"/>
      <c r="BHV22" s="101"/>
      <c r="BHW22" s="101"/>
      <c r="BHX22" s="101"/>
      <c r="BHY22" s="101"/>
      <c r="BHZ22" s="101"/>
      <c r="BIA22" s="101"/>
      <c r="BIB22" s="101"/>
      <c r="BIC22" s="101"/>
      <c r="BID22" s="101"/>
      <c r="BIE22" s="101"/>
      <c r="BIF22" s="101"/>
      <c r="BIG22" s="101"/>
      <c r="BIH22" s="101"/>
      <c r="BII22" s="101"/>
      <c r="BIJ22" s="101"/>
      <c r="BIK22" s="101"/>
      <c r="BIL22" s="101"/>
      <c r="BIM22" s="101"/>
      <c r="BIN22" s="101"/>
      <c r="BIO22" s="101"/>
      <c r="BIP22" s="101"/>
      <c r="BIQ22" s="101"/>
      <c r="BIR22" s="101"/>
      <c r="BIS22" s="101"/>
      <c r="BIT22" s="101"/>
      <c r="BIU22" s="101"/>
      <c r="BIV22" s="101"/>
      <c r="BIW22" s="101"/>
      <c r="BIX22" s="101"/>
      <c r="BIY22" s="101"/>
      <c r="BIZ22" s="101"/>
      <c r="BJA22" s="101"/>
      <c r="BJB22" s="101"/>
      <c r="BJC22" s="101"/>
      <c r="BJD22" s="101"/>
      <c r="BJE22" s="101"/>
      <c r="BJF22" s="101"/>
      <c r="BJG22" s="101"/>
      <c r="BJH22" s="101"/>
      <c r="BJI22" s="101"/>
      <c r="BJJ22" s="101"/>
      <c r="BJK22" s="101"/>
      <c r="BJL22" s="101"/>
      <c r="BJM22" s="101"/>
      <c r="BJN22" s="101"/>
      <c r="BJO22" s="101"/>
      <c r="BJP22" s="101"/>
      <c r="BJQ22" s="101"/>
      <c r="BJR22" s="101"/>
      <c r="BJS22" s="101"/>
      <c r="BJT22" s="101"/>
      <c r="BJU22" s="101"/>
      <c r="BJV22" s="101"/>
      <c r="BJW22" s="101"/>
      <c r="BJX22" s="101"/>
      <c r="BJY22" s="101"/>
      <c r="BJZ22" s="101"/>
      <c r="BKA22" s="101"/>
      <c r="BKB22" s="101"/>
      <c r="BKC22" s="101"/>
      <c r="BKD22" s="101"/>
      <c r="BKE22" s="101"/>
      <c r="BKF22" s="101"/>
      <c r="BKG22" s="101"/>
      <c r="BKH22" s="101"/>
      <c r="BKI22" s="101"/>
      <c r="BKJ22" s="101"/>
      <c r="BKK22" s="101"/>
      <c r="BKL22" s="101"/>
      <c r="BKM22" s="101"/>
      <c r="BKN22" s="101"/>
      <c r="BKO22" s="101"/>
      <c r="BKP22" s="101"/>
      <c r="BKQ22" s="101"/>
      <c r="BKR22" s="101"/>
      <c r="BKS22" s="101"/>
      <c r="BKT22" s="101"/>
      <c r="BKU22" s="101"/>
      <c r="BKV22" s="101"/>
      <c r="BKW22" s="101"/>
      <c r="BKX22" s="101"/>
      <c r="BKY22" s="101"/>
      <c r="BKZ22" s="101"/>
      <c r="BLA22" s="101"/>
      <c r="BLB22" s="101"/>
      <c r="BLC22" s="101"/>
      <c r="BLD22" s="101"/>
      <c r="BLE22" s="101"/>
      <c r="BLF22" s="101"/>
      <c r="BLG22" s="101"/>
      <c r="BLH22" s="101"/>
      <c r="BLI22" s="101"/>
      <c r="BLJ22" s="101"/>
      <c r="BLK22" s="101"/>
      <c r="BLL22" s="101"/>
      <c r="BLM22" s="101"/>
      <c r="BLN22" s="101"/>
      <c r="BLO22" s="101"/>
      <c r="BLP22" s="101"/>
      <c r="BLQ22" s="101"/>
      <c r="BLR22" s="101"/>
      <c r="BLS22" s="101"/>
      <c r="BLT22" s="101"/>
      <c r="BLU22" s="101"/>
      <c r="BLV22" s="101"/>
      <c r="BLW22" s="101"/>
      <c r="BLX22" s="101"/>
      <c r="BLY22" s="101"/>
      <c r="BLZ22" s="101"/>
      <c r="BMA22" s="101"/>
      <c r="BMB22" s="101"/>
      <c r="BMC22" s="101"/>
      <c r="BMD22" s="101"/>
      <c r="BME22" s="101"/>
      <c r="BMF22" s="101"/>
      <c r="BMG22" s="101"/>
      <c r="BMH22" s="101"/>
      <c r="BMI22" s="101"/>
      <c r="BMJ22" s="101"/>
      <c r="BMK22" s="101"/>
      <c r="BML22" s="101"/>
      <c r="BMM22" s="101"/>
      <c r="BMN22" s="101"/>
      <c r="BMO22" s="101"/>
      <c r="BMP22" s="101"/>
      <c r="BMQ22" s="101"/>
      <c r="BMR22" s="101"/>
      <c r="BMS22" s="101"/>
      <c r="BMT22" s="101"/>
      <c r="BMU22" s="101"/>
      <c r="BMV22" s="101"/>
      <c r="BMW22" s="101"/>
      <c r="BMX22" s="101"/>
      <c r="BMY22" s="101"/>
      <c r="BMZ22" s="101"/>
      <c r="BNA22" s="101"/>
      <c r="BNB22" s="101"/>
      <c r="BNC22" s="101"/>
      <c r="BND22" s="101"/>
      <c r="BNE22" s="101"/>
      <c r="BNF22" s="101"/>
      <c r="BNG22" s="101"/>
      <c r="BNH22" s="101"/>
      <c r="BNI22" s="101"/>
      <c r="BNJ22" s="101"/>
      <c r="BNK22" s="101"/>
      <c r="BNL22" s="101"/>
      <c r="BNM22" s="101"/>
      <c r="BNN22" s="101"/>
      <c r="BNO22" s="101"/>
      <c r="BNP22" s="101"/>
      <c r="BNQ22" s="101"/>
      <c r="BNR22" s="101"/>
      <c r="BNS22" s="101"/>
      <c r="BNT22" s="101"/>
      <c r="BNU22" s="101"/>
      <c r="BNV22" s="101"/>
      <c r="BNW22" s="101"/>
      <c r="BNX22" s="101"/>
      <c r="BNY22" s="101"/>
      <c r="BNZ22" s="101"/>
      <c r="BOA22" s="101"/>
      <c r="BOB22" s="101"/>
      <c r="BOC22" s="101"/>
      <c r="BOD22" s="101"/>
      <c r="BOE22" s="101"/>
      <c r="BOF22" s="101"/>
      <c r="BOG22" s="101"/>
      <c r="BOH22" s="101"/>
      <c r="BOI22" s="101"/>
      <c r="BOJ22" s="101"/>
      <c r="BOK22" s="101"/>
      <c r="BOL22" s="101"/>
      <c r="BOM22" s="101"/>
      <c r="BON22" s="101"/>
      <c r="BOO22" s="101"/>
      <c r="BOP22" s="101"/>
      <c r="BOQ22" s="101"/>
      <c r="BOR22" s="101"/>
      <c r="BOS22" s="101"/>
      <c r="BOT22" s="101"/>
      <c r="BOU22" s="101"/>
      <c r="BOV22" s="101"/>
      <c r="BOW22" s="101"/>
      <c r="BOX22" s="101"/>
      <c r="BOY22" s="101"/>
      <c r="BOZ22" s="101"/>
      <c r="BPA22" s="101"/>
      <c r="BPB22" s="101"/>
      <c r="BPC22" s="101"/>
      <c r="BPD22" s="101"/>
      <c r="BPE22" s="101"/>
      <c r="BPF22" s="101"/>
      <c r="BPG22" s="101"/>
      <c r="BPH22" s="101"/>
      <c r="BPI22" s="101"/>
      <c r="BPJ22" s="101"/>
      <c r="BPK22" s="101"/>
      <c r="BPL22" s="101"/>
      <c r="BPM22" s="101"/>
      <c r="BPN22" s="101"/>
      <c r="BPO22" s="101"/>
      <c r="BPP22" s="101"/>
      <c r="BPQ22" s="101"/>
      <c r="BPR22" s="101"/>
      <c r="BPS22" s="101"/>
      <c r="BPT22" s="101"/>
      <c r="BPU22" s="101"/>
      <c r="BPV22" s="101"/>
      <c r="BPW22" s="101"/>
      <c r="BPX22" s="101"/>
      <c r="BPY22" s="101"/>
      <c r="BPZ22" s="101"/>
      <c r="BQA22" s="101"/>
      <c r="BQB22" s="101"/>
      <c r="BQC22" s="101"/>
      <c r="BQD22" s="101"/>
      <c r="BQE22" s="101"/>
      <c r="BQF22" s="101"/>
      <c r="BQG22" s="101"/>
      <c r="BQH22" s="101"/>
      <c r="BQI22" s="101"/>
      <c r="BQJ22" s="101"/>
      <c r="BQK22" s="101"/>
      <c r="BQL22" s="101"/>
      <c r="BQM22" s="101"/>
      <c r="BQN22" s="101"/>
      <c r="BQO22" s="101"/>
      <c r="BQP22" s="101"/>
      <c r="BQQ22" s="101"/>
      <c r="BQR22" s="101"/>
      <c r="BQS22" s="101"/>
      <c r="BQT22" s="101"/>
      <c r="BQU22" s="101"/>
      <c r="BQV22" s="101"/>
      <c r="BQW22" s="101"/>
      <c r="BQX22" s="101"/>
      <c r="BQY22" s="101"/>
      <c r="BQZ22" s="101"/>
      <c r="BRA22" s="101"/>
      <c r="BRB22" s="101"/>
      <c r="BRC22" s="101"/>
      <c r="BRD22" s="101"/>
      <c r="BRE22" s="101"/>
      <c r="BRF22" s="101"/>
      <c r="BRG22" s="101"/>
      <c r="BRH22" s="101"/>
      <c r="BRI22" s="101"/>
      <c r="BRJ22" s="101"/>
      <c r="BRK22" s="101"/>
      <c r="BRL22" s="101"/>
      <c r="BRM22" s="101"/>
      <c r="BRN22" s="101"/>
      <c r="BRO22" s="101"/>
      <c r="BRP22" s="101"/>
      <c r="BRQ22" s="101"/>
      <c r="BRR22" s="101"/>
      <c r="BRS22" s="101"/>
      <c r="BRT22" s="101"/>
      <c r="BRU22" s="101"/>
      <c r="BRV22" s="101"/>
      <c r="BRW22" s="101"/>
      <c r="BRX22" s="101"/>
      <c r="BRY22" s="101"/>
      <c r="BRZ22" s="101"/>
      <c r="BSA22" s="101"/>
      <c r="BSB22" s="101"/>
      <c r="BSC22" s="101"/>
      <c r="BSD22" s="101"/>
      <c r="BSE22" s="101"/>
      <c r="BSF22" s="101"/>
      <c r="BSG22" s="101"/>
      <c r="BSH22" s="101"/>
      <c r="BSI22" s="101"/>
      <c r="BSJ22" s="101"/>
      <c r="BSK22" s="101"/>
      <c r="BSL22" s="101"/>
      <c r="BSM22" s="101"/>
      <c r="BSN22" s="101"/>
      <c r="BSO22" s="101"/>
      <c r="BSP22" s="101"/>
      <c r="BSQ22" s="101"/>
      <c r="BSR22" s="101"/>
      <c r="BSS22" s="101"/>
      <c r="BST22" s="101"/>
      <c r="BSU22" s="101"/>
      <c r="BSV22" s="101"/>
      <c r="BSW22" s="101"/>
      <c r="BSX22" s="101"/>
      <c r="BSY22" s="101"/>
      <c r="BSZ22" s="101"/>
      <c r="BTA22" s="101"/>
      <c r="BTB22" s="101"/>
      <c r="BTC22" s="101"/>
      <c r="BTD22" s="101"/>
      <c r="BTE22" s="101"/>
      <c r="BTF22" s="101"/>
      <c r="BTG22" s="101"/>
      <c r="BTH22" s="101"/>
      <c r="BTI22" s="101"/>
      <c r="BTJ22" s="101"/>
      <c r="BTK22" s="101"/>
      <c r="BTL22" s="101"/>
      <c r="BTM22" s="101"/>
      <c r="BTN22" s="101"/>
      <c r="BTO22" s="101"/>
      <c r="BTP22" s="101"/>
      <c r="BTQ22" s="101"/>
      <c r="BTR22" s="101"/>
      <c r="BTS22" s="101"/>
      <c r="BTT22" s="101"/>
      <c r="BTU22" s="101"/>
      <c r="BTV22" s="101"/>
      <c r="BTW22" s="101"/>
      <c r="BTX22" s="101"/>
      <c r="BTY22" s="101"/>
      <c r="BTZ22" s="101"/>
      <c r="BUA22" s="101"/>
      <c r="BUB22" s="101"/>
      <c r="BUC22" s="101"/>
      <c r="BUD22" s="101"/>
      <c r="BUE22" s="101"/>
      <c r="BUF22" s="101"/>
      <c r="BUG22" s="101"/>
      <c r="BUH22" s="101"/>
      <c r="BUI22" s="101"/>
      <c r="BUJ22" s="101"/>
      <c r="BUK22" s="101"/>
      <c r="BUL22" s="101"/>
      <c r="BUM22" s="101"/>
      <c r="BUN22" s="101"/>
      <c r="BUO22" s="101"/>
      <c r="BUP22" s="101"/>
      <c r="BUQ22" s="101"/>
      <c r="BUR22" s="101"/>
      <c r="BUS22" s="101"/>
      <c r="BUT22" s="101"/>
      <c r="BUU22" s="101"/>
      <c r="BUV22" s="101"/>
      <c r="BUW22" s="101"/>
      <c r="BUX22" s="101"/>
      <c r="BUY22" s="101"/>
      <c r="BUZ22" s="101"/>
      <c r="BVA22" s="101"/>
      <c r="BVB22" s="101"/>
      <c r="BVC22" s="101"/>
      <c r="BVD22" s="101"/>
      <c r="BVE22" s="101"/>
      <c r="BVF22" s="101"/>
      <c r="BVG22" s="101"/>
      <c r="BVH22" s="101"/>
      <c r="BVI22" s="101"/>
      <c r="BVJ22" s="101"/>
      <c r="BVK22" s="101"/>
      <c r="BVL22" s="101"/>
      <c r="BVM22" s="101"/>
      <c r="BVN22" s="101"/>
      <c r="BVO22" s="101"/>
      <c r="BVP22" s="101"/>
      <c r="BVQ22" s="101"/>
      <c r="BVR22" s="101"/>
      <c r="BVS22" s="101"/>
      <c r="BVT22" s="101"/>
      <c r="BVU22" s="101"/>
      <c r="BVV22" s="101"/>
      <c r="BVW22" s="101"/>
      <c r="BVX22" s="101"/>
      <c r="BVY22" s="101"/>
      <c r="BVZ22" s="101"/>
      <c r="BWA22" s="101"/>
      <c r="BWB22" s="101"/>
      <c r="BWC22" s="101"/>
      <c r="BWD22" s="101"/>
      <c r="BWE22" s="101"/>
      <c r="BWF22" s="101"/>
      <c r="BWG22" s="101"/>
      <c r="BWH22" s="101"/>
      <c r="BWI22" s="101"/>
      <c r="BWJ22" s="101"/>
      <c r="BWK22" s="101"/>
      <c r="BWL22" s="101"/>
      <c r="BWM22" s="101"/>
      <c r="BWN22" s="101"/>
      <c r="BWO22" s="101"/>
      <c r="BWP22" s="101"/>
      <c r="BWQ22" s="101"/>
      <c r="BWR22" s="101"/>
      <c r="BWS22" s="101"/>
      <c r="BWT22" s="101"/>
      <c r="BWU22" s="101"/>
      <c r="BWV22" s="101"/>
      <c r="BWW22" s="101"/>
      <c r="BWX22" s="101"/>
      <c r="BWY22" s="101"/>
      <c r="BWZ22" s="101"/>
      <c r="BXA22" s="101"/>
      <c r="BXB22" s="101"/>
      <c r="BXC22" s="101"/>
      <c r="BXD22" s="101"/>
      <c r="BXE22" s="101"/>
      <c r="BXF22" s="101"/>
      <c r="BXG22" s="101"/>
      <c r="BXH22" s="101"/>
      <c r="BXI22" s="101"/>
      <c r="BXJ22" s="101"/>
      <c r="BXK22" s="101"/>
      <c r="BXL22" s="101"/>
      <c r="BXM22" s="101"/>
      <c r="BXN22" s="101"/>
      <c r="BXO22" s="101"/>
      <c r="BXP22" s="101"/>
      <c r="BXQ22" s="101"/>
      <c r="BXR22" s="101"/>
      <c r="BXS22" s="101"/>
      <c r="BXT22" s="101"/>
      <c r="BXU22" s="101"/>
      <c r="BXV22" s="101"/>
      <c r="BXW22" s="101"/>
      <c r="BXX22" s="101"/>
      <c r="BXY22" s="101"/>
      <c r="BXZ22" s="101"/>
      <c r="BYA22" s="101"/>
      <c r="BYB22" s="101"/>
      <c r="BYC22" s="101"/>
      <c r="BYD22" s="101"/>
      <c r="BYE22" s="101"/>
      <c r="BYF22" s="101"/>
      <c r="BYG22" s="101"/>
      <c r="BYH22" s="101"/>
      <c r="BYI22" s="101"/>
      <c r="BYJ22" s="101"/>
      <c r="BYK22" s="101"/>
      <c r="BYL22" s="101"/>
      <c r="BYM22" s="101"/>
      <c r="BYN22" s="101"/>
      <c r="BYO22" s="101"/>
      <c r="BYP22" s="101"/>
      <c r="BYQ22" s="101"/>
      <c r="BYR22" s="101"/>
      <c r="BYS22" s="101"/>
      <c r="BYT22" s="101"/>
      <c r="BYU22" s="101"/>
      <c r="BYV22" s="101"/>
      <c r="BYW22" s="101"/>
      <c r="BYX22" s="101"/>
      <c r="BYY22" s="101"/>
      <c r="BYZ22" s="101"/>
      <c r="BZA22" s="101"/>
      <c r="BZB22" s="101"/>
      <c r="BZC22" s="101"/>
      <c r="BZD22" s="101"/>
      <c r="BZE22" s="101"/>
      <c r="BZF22" s="101"/>
      <c r="BZG22" s="101"/>
      <c r="BZH22" s="101"/>
      <c r="BZI22" s="101"/>
      <c r="BZJ22" s="101"/>
      <c r="BZK22" s="101"/>
      <c r="BZL22" s="101"/>
      <c r="BZM22" s="101"/>
      <c r="BZN22" s="101"/>
      <c r="BZO22" s="101"/>
      <c r="BZP22" s="101"/>
      <c r="BZQ22" s="101"/>
      <c r="BZR22" s="101"/>
      <c r="BZS22" s="101"/>
      <c r="BZT22" s="101"/>
      <c r="BZU22" s="101"/>
      <c r="BZV22" s="101"/>
      <c r="BZW22" s="101"/>
      <c r="BZX22" s="101"/>
      <c r="BZY22" s="101"/>
      <c r="BZZ22" s="101"/>
      <c r="CAA22" s="101"/>
      <c r="CAB22" s="101"/>
      <c r="CAC22" s="101"/>
      <c r="CAD22" s="101"/>
      <c r="CAE22" s="101"/>
      <c r="CAF22" s="101"/>
      <c r="CAG22" s="101"/>
      <c r="CAH22" s="101"/>
      <c r="CAI22" s="101"/>
      <c r="CAJ22" s="101"/>
      <c r="CAK22" s="101"/>
      <c r="CAL22" s="101"/>
      <c r="CAM22" s="101"/>
      <c r="CAN22" s="101"/>
      <c r="CAO22" s="101"/>
      <c r="CAP22" s="101"/>
      <c r="CAQ22" s="101"/>
      <c r="CAR22" s="101"/>
      <c r="CAS22" s="101"/>
      <c r="CAT22" s="101"/>
      <c r="CAU22" s="101"/>
      <c r="CAV22" s="101"/>
      <c r="CAW22" s="101"/>
      <c r="CAX22" s="101"/>
      <c r="CAY22" s="101"/>
      <c r="CAZ22" s="101"/>
      <c r="CBA22" s="101"/>
      <c r="CBB22" s="101"/>
      <c r="CBC22" s="101"/>
      <c r="CBD22" s="101"/>
      <c r="CBE22" s="101"/>
      <c r="CBF22" s="101"/>
      <c r="CBG22" s="101"/>
      <c r="CBH22" s="101"/>
      <c r="CBI22" s="101"/>
      <c r="CBJ22" s="101"/>
      <c r="CBK22" s="101"/>
      <c r="CBL22" s="101"/>
      <c r="CBM22" s="101"/>
      <c r="CBN22" s="101"/>
      <c r="CBO22" s="101"/>
      <c r="CBP22" s="101"/>
      <c r="CBQ22" s="101"/>
      <c r="CBR22" s="101"/>
      <c r="CBS22" s="101"/>
      <c r="CBT22" s="101"/>
      <c r="CBU22" s="101"/>
      <c r="CBV22" s="101"/>
      <c r="CBW22" s="101"/>
      <c r="CBX22" s="101"/>
      <c r="CBY22" s="101"/>
      <c r="CBZ22" s="101"/>
      <c r="CCA22" s="101"/>
      <c r="CCB22" s="101"/>
      <c r="CCC22" s="101"/>
      <c r="CCD22" s="101"/>
      <c r="CCE22" s="101"/>
      <c r="CCF22" s="101"/>
      <c r="CCG22" s="101"/>
      <c r="CCH22" s="101"/>
      <c r="CCI22" s="101"/>
      <c r="CCJ22" s="101"/>
      <c r="CCK22" s="101"/>
      <c r="CCL22" s="101"/>
      <c r="CCM22" s="101"/>
      <c r="CCN22" s="101"/>
      <c r="CCO22" s="101"/>
      <c r="CCP22" s="101"/>
      <c r="CCQ22" s="101"/>
      <c r="CCR22" s="101"/>
      <c r="CCS22" s="101"/>
      <c r="CCT22" s="101"/>
      <c r="CCU22" s="101"/>
      <c r="CCV22" s="101"/>
      <c r="CCW22" s="101"/>
      <c r="CCX22" s="101"/>
      <c r="CCY22" s="101"/>
      <c r="CCZ22" s="101"/>
      <c r="CDA22" s="101"/>
      <c r="CDB22" s="101"/>
      <c r="CDC22" s="101"/>
      <c r="CDD22" s="101"/>
      <c r="CDE22" s="101"/>
      <c r="CDF22" s="101"/>
      <c r="CDG22" s="101"/>
      <c r="CDH22" s="101"/>
      <c r="CDI22" s="101"/>
      <c r="CDJ22" s="101"/>
      <c r="CDK22" s="101"/>
      <c r="CDL22" s="101"/>
      <c r="CDM22" s="101"/>
      <c r="CDN22" s="101"/>
      <c r="CDO22" s="101"/>
      <c r="CDP22" s="101"/>
      <c r="CDQ22" s="101"/>
      <c r="CDR22" s="101"/>
      <c r="CDS22" s="101"/>
      <c r="CDT22" s="101"/>
      <c r="CDU22" s="101"/>
      <c r="CDV22" s="101"/>
      <c r="CDW22" s="101"/>
      <c r="CDX22" s="101"/>
      <c r="CDY22" s="101"/>
      <c r="CDZ22" s="101"/>
      <c r="CEA22" s="101"/>
      <c r="CEB22" s="101"/>
      <c r="CEC22" s="101"/>
      <c r="CED22" s="101"/>
      <c r="CEE22" s="101"/>
      <c r="CEF22" s="101"/>
      <c r="CEG22" s="101"/>
      <c r="CEH22" s="101"/>
      <c r="CEI22" s="101"/>
      <c r="CEJ22" s="101"/>
      <c r="CEK22" s="101"/>
      <c r="CEL22" s="101"/>
      <c r="CEM22" s="101"/>
      <c r="CEN22" s="101"/>
      <c r="CEO22" s="101"/>
      <c r="CEP22" s="101"/>
      <c r="CEQ22" s="101"/>
      <c r="CER22" s="101"/>
      <c r="CES22" s="101"/>
      <c r="CET22" s="101"/>
      <c r="CEU22" s="101"/>
      <c r="CEV22" s="101"/>
      <c r="CEW22" s="101"/>
      <c r="CEX22" s="101"/>
      <c r="CEY22" s="101"/>
      <c r="CEZ22" s="101"/>
      <c r="CFA22" s="101"/>
      <c r="CFB22" s="101"/>
      <c r="CFC22" s="101"/>
      <c r="CFD22" s="101"/>
      <c r="CFE22" s="101"/>
      <c r="CFF22" s="101"/>
      <c r="CFG22" s="101"/>
      <c r="CFH22" s="101"/>
      <c r="CFI22" s="101"/>
      <c r="CFJ22" s="101"/>
      <c r="CFK22" s="101"/>
      <c r="CFL22" s="101"/>
      <c r="CFM22" s="101"/>
      <c r="CFN22" s="101"/>
      <c r="CFO22" s="101"/>
      <c r="CFP22" s="101"/>
      <c r="CFQ22" s="101"/>
      <c r="CFR22" s="101"/>
      <c r="CFS22" s="101"/>
      <c r="CFT22" s="101"/>
      <c r="CFU22" s="101"/>
      <c r="CFV22" s="101"/>
      <c r="CFW22" s="101"/>
      <c r="CFX22" s="101"/>
      <c r="CFY22" s="101"/>
      <c r="CFZ22" s="101"/>
      <c r="CGA22" s="101"/>
      <c r="CGB22" s="101"/>
      <c r="CGC22" s="101"/>
      <c r="CGD22" s="101"/>
      <c r="CGE22" s="101"/>
      <c r="CGF22" s="101"/>
      <c r="CGG22" s="101"/>
      <c r="CGH22" s="101"/>
      <c r="CGI22" s="101"/>
      <c r="CGJ22" s="101"/>
      <c r="CGK22" s="101"/>
      <c r="CGL22" s="101"/>
      <c r="CGM22" s="101"/>
      <c r="CGN22" s="101"/>
      <c r="CGO22" s="101"/>
      <c r="CGP22" s="101"/>
      <c r="CGQ22" s="101"/>
      <c r="CGR22" s="101"/>
      <c r="CGS22" s="101"/>
      <c r="CGT22" s="101"/>
      <c r="CGU22" s="101"/>
      <c r="CGV22" s="101"/>
      <c r="CGW22" s="101"/>
      <c r="CGX22" s="101"/>
      <c r="CGY22" s="101"/>
      <c r="CGZ22" s="101"/>
      <c r="CHA22" s="101"/>
      <c r="CHB22" s="101"/>
      <c r="CHC22" s="101"/>
      <c r="CHD22" s="101"/>
      <c r="CHE22" s="101"/>
      <c r="CHF22" s="101"/>
      <c r="CHG22" s="101"/>
      <c r="CHH22" s="101"/>
      <c r="CHI22" s="101"/>
      <c r="CHJ22" s="101"/>
      <c r="CHK22" s="101"/>
      <c r="CHL22" s="101"/>
      <c r="CHM22" s="101"/>
      <c r="CHN22" s="101"/>
      <c r="CHO22" s="101"/>
      <c r="CHP22" s="101"/>
      <c r="CHQ22" s="101"/>
      <c r="CHR22" s="101"/>
      <c r="CHS22" s="101"/>
      <c r="CHT22" s="101"/>
      <c r="CHU22" s="101"/>
      <c r="CHV22" s="101"/>
      <c r="CHW22" s="101"/>
      <c r="CHX22" s="101"/>
      <c r="CHY22" s="101"/>
      <c r="CHZ22" s="101"/>
      <c r="CIA22" s="101"/>
      <c r="CIB22" s="101"/>
      <c r="CIC22" s="101"/>
      <c r="CID22" s="101"/>
      <c r="CIE22" s="101"/>
      <c r="CIF22" s="101"/>
      <c r="CIG22" s="101"/>
      <c r="CIH22" s="101"/>
      <c r="CII22" s="101"/>
      <c r="CIJ22" s="101"/>
      <c r="CIK22" s="101"/>
      <c r="CIL22" s="101"/>
      <c r="CIM22" s="101"/>
      <c r="CIN22" s="101"/>
      <c r="CIO22" s="101"/>
      <c r="CIP22" s="101"/>
      <c r="CIQ22" s="101"/>
      <c r="CIR22" s="101"/>
      <c r="CIS22" s="101"/>
      <c r="CIT22" s="101"/>
      <c r="CIU22" s="101"/>
      <c r="CIV22" s="101"/>
      <c r="CIW22" s="101"/>
      <c r="CIX22" s="101"/>
      <c r="CIY22" s="101"/>
      <c r="CIZ22" s="101"/>
      <c r="CJA22" s="101"/>
      <c r="CJB22" s="101"/>
      <c r="CJC22" s="101"/>
      <c r="CJD22" s="101"/>
      <c r="CJE22" s="101"/>
      <c r="CJF22" s="101"/>
      <c r="CJG22" s="101"/>
      <c r="CJH22" s="101"/>
      <c r="CJI22" s="101"/>
      <c r="CJJ22" s="101"/>
      <c r="CJK22" s="101"/>
      <c r="CJL22" s="101"/>
      <c r="CJM22" s="101"/>
      <c r="CJN22" s="101"/>
      <c r="CJO22" s="101"/>
      <c r="CJP22" s="101"/>
      <c r="CJQ22" s="101"/>
      <c r="CJR22" s="101"/>
      <c r="CJS22" s="101"/>
      <c r="CJT22" s="101"/>
      <c r="CJU22" s="101"/>
      <c r="CJV22" s="101"/>
      <c r="CJW22" s="101"/>
      <c r="CJX22" s="101"/>
      <c r="CJY22" s="101"/>
      <c r="CJZ22" s="101"/>
      <c r="CKA22" s="101"/>
      <c r="CKB22" s="101"/>
      <c r="CKC22" s="101"/>
      <c r="CKD22" s="101"/>
      <c r="CKE22" s="101"/>
      <c r="CKF22" s="101"/>
      <c r="CKG22" s="101"/>
      <c r="CKH22" s="101"/>
      <c r="CKI22" s="101"/>
      <c r="CKJ22" s="101"/>
      <c r="CKK22" s="101"/>
      <c r="CKL22" s="101"/>
      <c r="CKM22" s="101"/>
      <c r="CKN22" s="101"/>
      <c r="CKO22" s="101"/>
      <c r="CKP22" s="101"/>
      <c r="CKQ22" s="101"/>
      <c r="CKR22" s="101"/>
      <c r="CKS22" s="101"/>
      <c r="CKT22" s="101"/>
      <c r="CKU22" s="101"/>
      <c r="CKV22" s="101"/>
      <c r="CKW22" s="101"/>
      <c r="CKX22" s="101"/>
      <c r="CKY22" s="101"/>
      <c r="CKZ22" s="101"/>
      <c r="CLA22" s="101"/>
      <c r="CLB22" s="101"/>
      <c r="CLC22" s="101"/>
      <c r="CLD22" s="101"/>
      <c r="CLE22" s="101"/>
      <c r="CLF22" s="101"/>
      <c r="CLG22" s="101"/>
      <c r="CLH22" s="101"/>
      <c r="CLI22" s="101"/>
      <c r="CLJ22" s="101"/>
      <c r="CLK22" s="101"/>
      <c r="CLL22" s="101"/>
      <c r="CLM22" s="101"/>
      <c r="CLN22" s="101"/>
      <c r="CLO22" s="101"/>
      <c r="CLP22" s="101"/>
      <c r="CLQ22" s="101"/>
      <c r="CLR22" s="101"/>
      <c r="CLS22" s="101"/>
      <c r="CLT22" s="101"/>
      <c r="CLU22" s="101"/>
      <c r="CLV22" s="101"/>
      <c r="CLW22" s="101"/>
      <c r="CLX22" s="101"/>
      <c r="CLY22" s="101"/>
      <c r="CLZ22" s="101"/>
      <c r="CMA22" s="101"/>
      <c r="CMB22" s="101"/>
      <c r="CMC22" s="101"/>
      <c r="CMD22" s="101"/>
      <c r="CME22" s="101"/>
      <c r="CMF22" s="101"/>
      <c r="CMG22" s="101"/>
      <c r="CMH22" s="101"/>
      <c r="CMI22" s="101"/>
      <c r="CMJ22" s="101"/>
      <c r="CMK22" s="101"/>
      <c r="CML22" s="101"/>
      <c r="CMM22" s="101"/>
      <c r="CMN22" s="101"/>
      <c r="CMO22" s="101"/>
      <c r="CMP22" s="101"/>
      <c r="CMQ22" s="101"/>
      <c r="CMR22" s="101"/>
      <c r="CMS22" s="101"/>
      <c r="CMT22" s="101"/>
      <c r="CMU22" s="101"/>
      <c r="CMV22" s="101"/>
      <c r="CMW22" s="101"/>
      <c r="CMX22" s="101"/>
      <c r="CMY22" s="101"/>
      <c r="CMZ22" s="101"/>
      <c r="CNA22" s="101"/>
      <c r="CNB22" s="101"/>
      <c r="CNC22" s="101"/>
      <c r="CND22" s="101"/>
      <c r="CNE22" s="101"/>
      <c r="CNF22" s="101"/>
      <c r="CNG22" s="101"/>
      <c r="CNH22" s="101"/>
      <c r="CNI22" s="101"/>
      <c r="CNJ22" s="101"/>
      <c r="CNK22" s="101"/>
      <c r="CNL22" s="101"/>
      <c r="CNM22" s="101"/>
      <c r="CNN22" s="101"/>
      <c r="CNO22" s="101"/>
      <c r="CNP22" s="101"/>
      <c r="CNQ22" s="101"/>
      <c r="CNR22" s="101"/>
      <c r="CNS22" s="101"/>
      <c r="CNT22" s="101"/>
      <c r="CNU22" s="101"/>
      <c r="CNV22" s="101"/>
      <c r="CNW22" s="101"/>
      <c r="CNX22" s="101"/>
      <c r="CNY22" s="101"/>
      <c r="CNZ22" s="101"/>
      <c r="COA22" s="101"/>
      <c r="COB22" s="101"/>
      <c r="COC22" s="101"/>
      <c r="COD22" s="101"/>
      <c r="COE22" s="101"/>
      <c r="COF22" s="101"/>
      <c r="COG22" s="101"/>
      <c r="COH22" s="101"/>
      <c r="COI22" s="101"/>
      <c r="COJ22" s="101"/>
      <c r="COK22" s="101"/>
      <c r="COL22" s="101"/>
      <c r="COM22" s="101"/>
      <c r="CON22" s="101"/>
      <c r="COO22" s="101"/>
      <c r="COP22" s="101"/>
      <c r="COQ22" s="101"/>
      <c r="COR22" s="101"/>
      <c r="COS22" s="101"/>
      <c r="COT22" s="101"/>
      <c r="COU22" s="101"/>
      <c r="COV22" s="101"/>
      <c r="COW22" s="101"/>
      <c r="COX22" s="101"/>
      <c r="COY22" s="101"/>
      <c r="COZ22" s="101"/>
      <c r="CPA22" s="101"/>
      <c r="CPB22" s="101"/>
      <c r="CPC22" s="101"/>
      <c r="CPD22" s="101"/>
      <c r="CPE22" s="101"/>
      <c r="CPF22" s="101"/>
      <c r="CPG22" s="101"/>
      <c r="CPH22" s="101"/>
      <c r="CPI22" s="101"/>
      <c r="CPJ22" s="101"/>
      <c r="CPK22" s="101"/>
      <c r="CPL22" s="101"/>
      <c r="CPM22" s="101"/>
      <c r="CPN22" s="101"/>
      <c r="CPO22" s="101"/>
      <c r="CPP22" s="101"/>
      <c r="CPQ22" s="101"/>
      <c r="CPR22" s="101"/>
      <c r="CPS22" s="101"/>
      <c r="CPT22" s="101"/>
      <c r="CPU22" s="101"/>
      <c r="CPV22" s="101"/>
      <c r="CPW22" s="101"/>
      <c r="CPX22" s="101"/>
      <c r="CPY22" s="101"/>
      <c r="CPZ22" s="101"/>
      <c r="CQA22" s="101"/>
      <c r="CQB22" s="101"/>
      <c r="CQC22" s="101"/>
      <c r="CQD22" s="101"/>
      <c r="CQE22" s="101"/>
      <c r="CQF22" s="101"/>
      <c r="CQG22" s="101"/>
      <c r="CQH22" s="101"/>
      <c r="CQI22" s="101"/>
      <c r="CQJ22" s="101"/>
      <c r="CQK22" s="101"/>
      <c r="CQL22" s="101"/>
      <c r="CQM22" s="101"/>
      <c r="CQN22" s="101"/>
      <c r="CQO22" s="101"/>
      <c r="CQP22" s="101"/>
      <c r="CQQ22" s="101"/>
      <c r="CQR22" s="101"/>
      <c r="CQS22" s="101"/>
      <c r="CQT22" s="101"/>
      <c r="CQU22" s="101"/>
      <c r="CQV22" s="101"/>
      <c r="CQW22" s="101"/>
      <c r="CQX22" s="101"/>
      <c r="CQY22" s="101"/>
      <c r="CQZ22" s="101"/>
      <c r="CRA22" s="101"/>
      <c r="CRB22" s="101"/>
      <c r="CRC22" s="101"/>
      <c r="CRD22" s="101"/>
      <c r="CRE22" s="101"/>
      <c r="CRF22" s="101"/>
      <c r="CRG22" s="101"/>
      <c r="CRH22" s="101"/>
      <c r="CRI22" s="101"/>
      <c r="CRJ22" s="101"/>
      <c r="CRK22" s="101"/>
      <c r="CRL22" s="101"/>
      <c r="CRM22" s="101"/>
      <c r="CRN22" s="101"/>
      <c r="CRO22" s="101"/>
      <c r="CRP22" s="101"/>
      <c r="CRQ22" s="101"/>
      <c r="CRR22" s="101"/>
      <c r="CRS22" s="101"/>
      <c r="CRT22" s="101"/>
      <c r="CRU22" s="101"/>
      <c r="CRV22" s="101"/>
      <c r="CRW22" s="101"/>
      <c r="CRX22" s="101"/>
      <c r="CRY22" s="101"/>
      <c r="CRZ22" s="101"/>
      <c r="CSA22" s="101"/>
      <c r="CSB22" s="101"/>
      <c r="CSC22" s="101"/>
      <c r="CSD22" s="101"/>
      <c r="CSE22" s="101"/>
      <c r="CSF22" s="101"/>
      <c r="CSG22" s="101"/>
      <c r="CSH22" s="101"/>
      <c r="CSI22" s="101"/>
      <c r="CSJ22" s="101"/>
      <c r="CSK22" s="101"/>
      <c r="CSL22" s="101"/>
      <c r="CSM22" s="101"/>
      <c r="CSN22" s="101"/>
      <c r="CSO22" s="101"/>
      <c r="CSP22" s="101"/>
      <c r="CSQ22" s="101"/>
      <c r="CSR22" s="101"/>
      <c r="CSS22" s="101"/>
      <c r="CST22" s="101"/>
      <c r="CSU22" s="101"/>
      <c r="CSV22" s="101"/>
      <c r="CSW22" s="101"/>
      <c r="CSX22" s="101"/>
      <c r="CSY22" s="101"/>
      <c r="CSZ22" s="101"/>
      <c r="CTA22" s="101"/>
      <c r="CTB22" s="101"/>
      <c r="CTC22" s="101"/>
      <c r="CTD22" s="101"/>
      <c r="CTE22" s="101"/>
      <c r="CTF22" s="101"/>
      <c r="CTG22" s="101"/>
      <c r="CTH22" s="101"/>
      <c r="CTI22" s="101"/>
      <c r="CTJ22" s="101"/>
      <c r="CTK22" s="101"/>
      <c r="CTL22" s="101"/>
      <c r="CTM22" s="101"/>
      <c r="CTN22" s="101"/>
      <c r="CTO22" s="101"/>
      <c r="CTP22" s="101"/>
      <c r="CTQ22" s="101"/>
      <c r="CTR22" s="101"/>
      <c r="CTS22" s="101"/>
      <c r="CTT22" s="101"/>
      <c r="CTU22" s="101"/>
      <c r="CTV22" s="101"/>
      <c r="CTW22" s="101"/>
      <c r="CTX22" s="101"/>
      <c r="CTY22" s="101"/>
      <c r="CTZ22" s="101"/>
      <c r="CUA22" s="101"/>
      <c r="CUB22" s="101"/>
      <c r="CUC22" s="101"/>
      <c r="CUD22" s="101"/>
      <c r="CUE22" s="101"/>
      <c r="CUF22" s="101"/>
      <c r="CUG22" s="101"/>
      <c r="CUH22" s="101"/>
      <c r="CUI22" s="101"/>
      <c r="CUJ22" s="101"/>
      <c r="CUK22" s="101"/>
      <c r="CUL22" s="101"/>
      <c r="CUM22" s="101"/>
      <c r="CUN22" s="101"/>
      <c r="CUO22" s="101"/>
      <c r="CUP22" s="101"/>
      <c r="CUQ22" s="101"/>
      <c r="CUR22" s="101"/>
      <c r="CUS22" s="101"/>
      <c r="CUT22" s="101"/>
      <c r="CUU22" s="101"/>
      <c r="CUV22" s="101"/>
      <c r="CUW22" s="101"/>
      <c r="CUX22" s="101"/>
      <c r="CUY22" s="101"/>
      <c r="CUZ22" s="101"/>
      <c r="CVA22" s="101"/>
      <c r="CVB22" s="101"/>
      <c r="CVC22" s="101"/>
      <c r="CVD22" s="101"/>
      <c r="CVE22" s="101"/>
      <c r="CVF22" s="101"/>
      <c r="CVG22" s="101"/>
      <c r="CVH22" s="101"/>
      <c r="CVI22" s="101"/>
      <c r="CVJ22" s="101"/>
      <c r="CVK22" s="101"/>
      <c r="CVL22" s="101"/>
      <c r="CVM22" s="101"/>
      <c r="CVN22" s="101"/>
      <c r="CVO22" s="101"/>
      <c r="CVP22" s="101"/>
      <c r="CVQ22" s="101"/>
      <c r="CVR22" s="101"/>
      <c r="CVS22" s="101"/>
      <c r="CVT22" s="101"/>
      <c r="CVU22" s="101"/>
      <c r="CVV22" s="101"/>
      <c r="CVW22" s="101"/>
      <c r="CVX22" s="101"/>
      <c r="CVY22" s="101"/>
      <c r="CVZ22" s="101"/>
      <c r="CWA22" s="101"/>
      <c r="CWB22" s="101"/>
      <c r="CWC22" s="101"/>
      <c r="CWD22" s="101"/>
      <c r="CWE22" s="101"/>
      <c r="CWF22" s="101"/>
      <c r="CWG22" s="101"/>
      <c r="CWH22" s="101"/>
      <c r="CWI22" s="101"/>
      <c r="CWJ22" s="101"/>
      <c r="CWK22" s="101"/>
      <c r="CWL22" s="101"/>
      <c r="CWM22" s="101"/>
      <c r="CWN22" s="101"/>
      <c r="CWO22" s="101"/>
      <c r="CWP22" s="101"/>
      <c r="CWQ22" s="101"/>
      <c r="CWR22" s="101"/>
      <c r="CWS22" s="101"/>
      <c r="CWT22" s="101"/>
      <c r="CWU22" s="101"/>
      <c r="CWV22" s="101"/>
      <c r="CWW22" s="101"/>
      <c r="CWX22" s="101"/>
      <c r="CWY22" s="101"/>
      <c r="CWZ22" s="101"/>
      <c r="CXA22" s="101"/>
      <c r="CXB22" s="101"/>
      <c r="CXC22" s="101"/>
      <c r="CXD22" s="101"/>
      <c r="CXE22" s="101"/>
      <c r="CXF22" s="101"/>
      <c r="CXG22" s="101"/>
      <c r="CXH22" s="101"/>
      <c r="CXI22" s="101"/>
      <c r="CXJ22" s="101"/>
      <c r="CXK22" s="101"/>
      <c r="CXL22" s="101"/>
      <c r="CXM22" s="101"/>
      <c r="CXN22" s="101"/>
      <c r="CXO22" s="101"/>
      <c r="CXP22" s="101"/>
      <c r="CXQ22" s="101"/>
      <c r="CXR22" s="101"/>
      <c r="CXS22" s="101"/>
      <c r="CXT22" s="101"/>
      <c r="CXU22" s="101"/>
      <c r="CXV22" s="101"/>
      <c r="CXW22" s="101"/>
      <c r="CXX22" s="101"/>
      <c r="CXY22" s="101"/>
      <c r="CXZ22" s="101"/>
      <c r="CYA22" s="101"/>
      <c r="CYB22" s="101"/>
      <c r="CYC22" s="101"/>
      <c r="CYD22" s="101"/>
      <c r="CYE22" s="101"/>
      <c r="CYF22" s="101"/>
      <c r="CYG22" s="101"/>
      <c r="CYH22" s="101"/>
      <c r="CYI22" s="101"/>
      <c r="CYJ22" s="101"/>
      <c r="CYK22" s="101"/>
      <c r="CYL22" s="101"/>
      <c r="CYM22" s="101"/>
      <c r="CYN22" s="101"/>
      <c r="CYO22" s="101"/>
      <c r="CYP22" s="101"/>
      <c r="CYQ22" s="101"/>
      <c r="CYR22" s="101"/>
      <c r="CYS22" s="101"/>
      <c r="CYT22" s="101"/>
      <c r="CYU22" s="101"/>
      <c r="CYV22" s="101"/>
      <c r="CYW22" s="101"/>
      <c r="CYX22" s="101"/>
      <c r="CYY22" s="101"/>
      <c r="CYZ22" s="101"/>
      <c r="CZA22" s="101"/>
      <c r="CZB22" s="101"/>
      <c r="CZC22" s="101"/>
      <c r="CZD22" s="101"/>
      <c r="CZE22" s="101"/>
      <c r="CZF22" s="101"/>
      <c r="CZG22" s="101"/>
      <c r="CZH22" s="101"/>
      <c r="CZI22" s="101"/>
      <c r="CZJ22" s="101"/>
      <c r="CZK22" s="101"/>
      <c r="CZL22" s="101"/>
      <c r="CZM22" s="101"/>
      <c r="CZN22" s="101"/>
      <c r="CZO22" s="101"/>
      <c r="CZP22" s="101"/>
      <c r="CZQ22" s="101"/>
      <c r="CZR22" s="101"/>
      <c r="CZS22" s="101"/>
      <c r="CZT22" s="101"/>
      <c r="CZU22" s="101"/>
      <c r="CZV22" s="101"/>
      <c r="CZW22" s="101"/>
      <c r="CZX22" s="101"/>
      <c r="CZY22" s="101"/>
      <c r="CZZ22" s="101"/>
      <c r="DAA22" s="101"/>
      <c r="DAB22" s="101"/>
      <c r="DAC22" s="101"/>
      <c r="DAD22" s="101"/>
      <c r="DAE22" s="101"/>
      <c r="DAF22" s="101"/>
      <c r="DAG22" s="101"/>
      <c r="DAH22" s="101"/>
      <c r="DAI22" s="101"/>
      <c r="DAJ22" s="101"/>
      <c r="DAK22" s="101"/>
      <c r="DAL22" s="101"/>
      <c r="DAM22" s="101"/>
      <c r="DAN22" s="101"/>
      <c r="DAO22" s="101"/>
      <c r="DAP22" s="101"/>
      <c r="DAQ22" s="101"/>
      <c r="DAR22" s="101"/>
      <c r="DAS22" s="101"/>
      <c r="DAT22" s="101"/>
      <c r="DAU22" s="101"/>
      <c r="DAV22" s="101"/>
      <c r="DAW22" s="101"/>
      <c r="DAX22" s="101"/>
      <c r="DAY22" s="101"/>
      <c r="DAZ22" s="101"/>
      <c r="DBA22" s="101"/>
      <c r="DBB22" s="101"/>
      <c r="DBC22" s="101"/>
      <c r="DBD22" s="101"/>
      <c r="DBE22" s="101"/>
      <c r="DBF22" s="101"/>
      <c r="DBG22" s="101"/>
      <c r="DBH22" s="101"/>
      <c r="DBI22" s="101"/>
      <c r="DBJ22" s="101"/>
      <c r="DBK22" s="101"/>
      <c r="DBL22" s="101"/>
      <c r="DBM22" s="101"/>
      <c r="DBN22" s="101"/>
      <c r="DBO22" s="101"/>
      <c r="DBP22" s="101"/>
      <c r="DBQ22" s="101"/>
      <c r="DBR22" s="101"/>
      <c r="DBS22" s="101"/>
      <c r="DBT22" s="101"/>
      <c r="DBU22" s="101"/>
      <c r="DBV22" s="101"/>
      <c r="DBW22" s="101"/>
      <c r="DBX22" s="101"/>
      <c r="DBY22" s="101"/>
      <c r="DBZ22" s="101"/>
      <c r="DCA22" s="101"/>
      <c r="DCB22" s="101"/>
      <c r="DCC22" s="101"/>
      <c r="DCD22" s="101"/>
      <c r="DCE22" s="101"/>
      <c r="DCF22" s="101"/>
      <c r="DCG22" s="101"/>
      <c r="DCH22" s="101"/>
      <c r="DCI22" s="101"/>
      <c r="DCJ22" s="101"/>
      <c r="DCK22" s="101"/>
      <c r="DCL22" s="101"/>
      <c r="DCM22" s="101"/>
      <c r="DCN22" s="101"/>
      <c r="DCO22" s="101"/>
      <c r="DCP22" s="101"/>
      <c r="DCQ22" s="101"/>
      <c r="DCR22" s="101"/>
      <c r="DCS22" s="101"/>
      <c r="DCT22" s="101"/>
      <c r="DCU22" s="101"/>
      <c r="DCV22" s="101"/>
      <c r="DCW22" s="101"/>
      <c r="DCX22" s="101"/>
      <c r="DCY22" s="101"/>
      <c r="DCZ22" s="101"/>
      <c r="DDA22" s="101"/>
      <c r="DDB22" s="101"/>
      <c r="DDC22" s="101"/>
      <c r="DDD22" s="101"/>
      <c r="DDE22" s="101"/>
      <c r="DDF22" s="101"/>
      <c r="DDG22" s="101"/>
      <c r="DDH22" s="101"/>
      <c r="DDI22" s="101"/>
      <c r="DDJ22" s="101"/>
      <c r="DDK22" s="101"/>
      <c r="DDL22" s="101"/>
      <c r="DDM22" s="101"/>
      <c r="DDN22" s="101"/>
      <c r="DDO22" s="101"/>
      <c r="DDP22" s="101"/>
      <c r="DDQ22" s="101"/>
      <c r="DDR22" s="101"/>
      <c r="DDS22" s="101"/>
      <c r="DDT22" s="101"/>
      <c r="DDU22" s="101"/>
      <c r="DDV22" s="101"/>
      <c r="DDW22" s="101"/>
      <c r="DDX22" s="101"/>
      <c r="DDY22" s="101"/>
      <c r="DDZ22" s="101"/>
      <c r="DEA22" s="101"/>
      <c r="DEB22" s="101"/>
      <c r="DEC22" s="101"/>
      <c r="DED22" s="101"/>
      <c r="DEE22" s="101"/>
      <c r="DEF22" s="101"/>
      <c r="DEG22" s="101"/>
      <c r="DEH22" s="101"/>
      <c r="DEI22" s="101"/>
      <c r="DEJ22" s="101"/>
      <c r="DEK22" s="101"/>
      <c r="DEL22" s="101"/>
      <c r="DEM22" s="101"/>
      <c r="DEN22" s="101"/>
      <c r="DEO22" s="101"/>
      <c r="DEP22" s="101"/>
      <c r="DEQ22" s="101"/>
      <c r="DER22" s="101"/>
      <c r="DES22" s="101"/>
      <c r="DET22" s="101"/>
      <c r="DEU22" s="101"/>
      <c r="DEV22" s="101"/>
      <c r="DEW22" s="101"/>
      <c r="DEX22" s="101"/>
      <c r="DEY22" s="101"/>
      <c r="DEZ22" s="101"/>
      <c r="DFA22" s="101"/>
      <c r="DFB22" s="101"/>
      <c r="DFC22" s="101"/>
      <c r="DFD22" s="101"/>
      <c r="DFE22" s="101"/>
      <c r="DFF22" s="101"/>
      <c r="DFG22" s="101"/>
      <c r="DFH22" s="101"/>
      <c r="DFI22" s="101"/>
      <c r="DFJ22" s="101"/>
      <c r="DFK22" s="101"/>
      <c r="DFL22" s="101"/>
      <c r="DFM22" s="101"/>
      <c r="DFN22" s="101"/>
      <c r="DFO22" s="101"/>
      <c r="DFP22" s="101"/>
      <c r="DFQ22" s="101"/>
      <c r="DFR22" s="101"/>
      <c r="DFS22" s="101"/>
      <c r="DFT22" s="101"/>
      <c r="DFU22" s="101"/>
      <c r="DFV22" s="101"/>
      <c r="DFW22" s="101"/>
      <c r="DFX22" s="101"/>
      <c r="DFY22" s="101"/>
      <c r="DFZ22" s="101"/>
      <c r="DGA22" s="101"/>
      <c r="DGB22" s="101"/>
      <c r="DGC22" s="101"/>
      <c r="DGD22" s="101"/>
      <c r="DGE22" s="101"/>
      <c r="DGF22" s="101"/>
      <c r="DGG22" s="101"/>
      <c r="DGH22" s="101"/>
      <c r="DGI22" s="101"/>
      <c r="DGJ22" s="101"/>
      <c r="DGK22" s="101"/>
      <c r="DGL22" s="101"/>
      <c r="DGM22" s="101"/>
      <c r="DGN22" s="101"/>
      <c r="DGO22" s="101"/>
      <c r="DGP22" s="101"/>
      <c r="DGQ22" s="101"/>
      <c r="DGR22" s="101"/>
      <c r="DGS22" s="101"/>
      <c r="DGT22" s="101"/>
      <c r="DGU22" s="101"/>
      <c r="DGV22" s="101"/>
      <c r="DGW22" s="101"/>
      <c r="DGX22" s="101"/>
      <c r="DGY22" s="101"/>
      <c r="DGZ22" s="101"/>
      <c r="DHA22" s="101"/>
      <c r="DHB22" s="101"/>
      <c r="DHC22" s="101"/>
      <c r="DHD22" s="101"/>
      <c r="DHE22" s="101"/>
      <c r="DHF22" s="101"/>
      <c r="DHG22" s="101"/>
      <c r="DHH22" s="101"/>
      <c r="DHI22" s="101"/>
      <c r="DHJ22" s="101"/>
      <c r="DHK22" s="101"/>
      <c r="DHL22" s="101"/>
      <c r="DHM22" s="101"/>
      <c r="DHN22" s="101"/>
      <c r="DHO22" s="101"/>
      <c r="DHP22" s="101"/>
      <c r="DHQ22" s="101"/>
      <c r="DHR22" s="101"/>
      <c r="DHS22" s="101"/>
      <c r="DHT22" s="101"/>
      <c r="DHU22" s="101"/>
      <c r="DHV22" s="101"/>
      <c r="DHW22" s="101"/>
      <c r="DHX22" s="101"/>
      <c r="DHY22" s="101"/>
      <c r="DHZ22" s="101"/>
      <c r="DIA22" s="101"/>
      <c r="DIB22" s="101"/>
      <c r="DIC22" s="101"/>
      <c r="DID22" s="101"/>
      <c r="DIE22" s="101"/>
      <c r="DIF22" s="101"/>
      <c r="DIG22" s="101"/>
      <c r="DIH22" s="101"/>
      <c r="DII22" s="101"/>
      <c r="DIJ22" s="101"/>
      <c r="DIK22" s="101"/>
      <c r="DIL22" s="101"/>
      <c r="DIM22" s="101"/>
      <c r="DIN22" s="101"/>
      <c r="DIO22" s="101"/>
      <c r="DIP22" s="101"/>
      <c r="DIQ22" s="101"/>
      <c r="DIR22" s="101"/>
      <c r="DIS22" s="101"/>
      <c r="DIT22" s="101"/>
      <c r="DIU22" s="101"/>
      <c r="DIV22" s="101"/>
      <c r="DIW22" s="101"/>
      <c r="DIX22" s="101"/>
      <c r="DIY22" s="101"/>
      <c r="DIZ22" s="101"/>
      <c r="DJA22" s="101"/>
      <c r="DJB22" s="101"/>
      <c r="DJC22" s="101"/>
      <c r="DJD22" s="101"/>
      <c r="DJE22" s="101"/>
      <c r="DJF22" s="101"/>
      <c r="DJG22" s="101"/>
      <c r="DJH22" s="101"/>
      <c r="DJI22" s="101"/>
      <c r="DJJ22" s="101"/>
      <c r="DJK22" s="101"/>
      <c r="DJL22" s="101"/>
      <c r="DJM22" s="101"/>
      <c r="DJN22" s="101"/>
      <c r="DJO22" s="101"/>
      <c r="DJP22" s="101"/>
      <c r="DJQ22" s="101"/>
      <c r="DJR22" s="101"/>
      <c r="DJS22" s="101"/>
      <c r="DJT22" s="101"/>
      <c r="DJU22" s="101"/>
      <c r="DJV22" s="101"/>
      <c r="DJW22" s="101"/>
      <c r="DJX22" s="101"/>
      <c r="DJY22" s="101"/>
      <c r="DJZ22" s="101"/>
      <c r="DKA22" s="101"/>
      <c r="DKB22" s="101"/>
      <c r="DKC22" s="101"/>
      <c r="DKD22" s="101"/>
      <c r="DKE22" s="101"/>
      <c r="DKF22" s="101"/>
      <c r="DKG22" s="101"/>
      <c r="DKH22" s="101"/>
      <c r="DKI22" s="101"/>
      <c r="DKJ22" s="101"/>
      <c r="DKK22" s="101"/>
      <c r="DKL22" s="101"/>
      <c r="DKM22" s="101"/>
      <c r="DKN22" s="101"/>
      <c r="DKO22" s="101"/>
      <c r="DKP22" s="101"/>
      <c r="DKQ22" s="101"/>
      <c r="DKR22" s="101"/>
      <c r="DKS22" s="101"/>
      <c r="DKT22" s="101"/>
      <c r="DKU22" s="101"/>
      <c r="DKV22" s="101"/>
      <c r="DKW22" s="101"/>
      <c r="DKX22" s="101"/>
      <c r="DKY22" s="101"/>
      <c r="DKZ22" s="101"/>
      <c r="DLA22" s="101"/>
      <c r="DLB22" s="101"/>
      <c r="DLC22" s="101"/>
      <c r="DLD22" s="101"/>
      <c r="DLE22" s="101"/>
      <c r="DLF22" s="101"/>
      <c r="DLG22" s="101"/>
      <c r="DLH22" s="101"/>
      <c r="DLI22" s="101"/>
      <c r="DLJ22" s="101"/>
      <c r="DLK22" s="101"/>
      <c r="DLL22" s="101"/>
      <c r="DLM22" s="101"/>
      <c r="DLN22" s="101"/>
      <c r="DLO22" s="101"/>
      <c r="DLP22" s="101"/>
      <c r="DLQ22" s="101"/>
      <c r="DLR22" s="101"/>
      <c r="DLS22" s="101"/>
      <c r="DLT22" s="101"/>
      <c r="DLU22" s="101"/>
      <c r="DLV22" s="101"/>
      <c r="DLW22" s="101"/>
      <c r="DLX22" s="101"/>
      <c r="DLY22" s="101"/>
      <c r="DLZ22" s="101"/>
      <c r="DMA22" s="101"/>
      <c r="DMB22" s="101"/>
      <c r="DMC22" s="101"/>
      <c r="DMD22" s="101"/>
      <c r="DME22" s="101"/>
      <c r="DMF22" s="101"/>
      <c r="DMG22" s="101"/>
      <c r="DMH22" s="101"/>
      <c r="DMI22" s="101"/>
      <c r="DMJ22" s="101"/>
      <c r="DMK22" s="101"/>
      <c r="DML22" s="101"/>
      <c r="DMM22" s="101"/>
      <c r="DMN22" s="101"/>
      <c r="DMO22" s="101"/>
      <c r="DMP22" s="101"/>
      <c r="DMQ22" s="101"/>
      <c r="DMR22" s="101"/>
      <c r="DMS22" s="101"/>
      <c r="DMT22" s="101"/>
      <c r="DMU22" s="101"/>
      <c r="DMV22" s="101"/>
      <c r="DMW22" s="101"/>
      <c r="DMX22" s="101"/>
      <c r="DMY22" s="101"/>
      <c r="DMZ22" s="101"/>
      <c r="DNA22" s="101"/>
      <c r="DNB22" s="101"/>
      <c r="DNC22" s="101"/>
      <c r="DND22" s="101"/>
      <c r="DNE22" s="101"/>
      <c r="DNF22" s="101"/>
      <c r="DNG22" s="101"/>
      <c r="DNH22" s="101"/>
      <c r="DNI22" s="101"/>
      <c r="DNJ22" s="101"/>
      <c r="DNK22" s="101"/>
      <c r="DNL22" s="101"/>
      <c r="DNM22" s="101"/>
      <c r="DNN22" s="101"/>
      <c r="DNO22" s="101"/>
      <c r="DNP22" s="101"/>
      <c r="DNQ22" s="101"/>
      <c r="DNR22" s="101"/>
      <c r="DNS22" s="101"/>
      <c r="DNT22" s="101"/>
      <c r="DNU22" s="101"/>
      <c r="DNV22" s="101"/>
      <c r="DNW22" s="101"/>
      <c r="DNX22" s="101"/>
      <c r="DNY22" s="101"/>
      <c r="DNZ22" s="101"/>
      <c r="DOA22" s="101"/>
      <c r="DOB22" s="101"/>
      <c r="DOC22" s="101"/>
      <c r="DOD22" s="101"/>
      <c r="DOE22" s="101"/>
      <c r="DOF22" s="101"/>
      <c r="DOG22" s="101"/>
      <c r="DOH22" s="101"/>
      <c r="DOI22" s="101"/>
      <c r="DOJ22" s="101"/>
      <c r="DOK22" s="101"/>
      <c r="DOL22" s="101"/>
      <c r="DOM22" s="101"/>
      <c r="DON22" s="101"/>
      <c r="DOO22" s="101"/>
      <c r="DOP22" s="101"/>
      <c r="DOQ22" s="101"/>
      <c r="DOR22" s="101"/>
      <c r="DOS22" s="101"/>
      <c r="DOT22" s="101"/>
      <c r="DOU22" s="101"/>
      <c r="DOV22" s="101"/>
      <c r="DOW22" s="101"/>
      <c r="DOX22" s="101"/>
      <c r="DOY22" s="101"/>
      <c r="DOZ22" s="101"/>
      <c r="DPA22" s="101"/>
      <c r="DPB22" s="101"/>
      <c r="DPC22" s="101"/>
      <c r="DPD22" s="101"/>
      <c r="DPE22" s="101"/>
      <c r="DPF22" s="101"/>
      <c r="DPG22" s="101"/>
      <c r="DPH22" s="101"/>
      <c r="DPI22" s="101"/>
      <c r="DPJ22" s="101"/>
      <c r="DPK22" s="101"/>
      <c r="DPL22" s="101"/>
      <c r="DPM22" s="101"/>
      <c r="DPN22" s="101"/>
      <c r="DPO22" s="101"/>
      <c r="DPP22" s="101"/>
      <c r="DPQ22" s="101"/>
      <c r="DPR22" s="101"/>
      <c r="DPS22" s="101"/>
      <c r="DPT22" s="101"/>
      <c r="DPU22" s="101"/>
      <c r="DPV22" s="101"/>
      <c r="DPW22" s="101"/>
      <c r="DPX22" s="101"/>
      <c r="DPY22" s="101"/>
      <c r="DPZ22" s="101"/>
      <c r="DQA22" s="101"/>
      <c r="DQB22" s="101"/>
      <c r="DQC22" s="101"/>
      <c r="DQD22" s="101"/>
      <c r="DQE22" s="101"/>
      <c r="DQF22" s="101"/>
      <c r="DQG22" s="101"/>
      <c r="DQH22" s="101"/>
      <c r="DQI22" s="101"/>
      <c r="DQJ22" s="101"/>
      <c r="DQK22" s="101"/>
      <c r="DQL22" s="101"/>
      <c r="DQM22" s="101"/>
      <c r="DQN22" s="101"/>
      <c r="DQO22" s="101"/>
      <c r="DQP22" s="101"/>
      <c r="DQQ22" s="101"/>
      <c r="DQR22" s="101"/>
      <c r="DQS22" s="101"/>
      <c r="DQT22" s="101"/>
      <c r="DQU22" s="101"/>
      <c r="DQV22" s="101"/>
      <c r="DQW22" s="101"/>
      <c r="DQX22" s="101"/>
      <c r="DQY22" s="101"/>
      <c r="DQZ22" s="101"/>
      <c r="DRA22" s="101"/>
      <c r="DRB22" s="101"/>
      <c r="DRC22" s="101"/>
      <c r="DRD22" s="101"/>
      <c r="DRE22" s="101"/>
      <c r="DRF22" s="101"/>
      <c r="DRG22" s="101"/>
      <c r="DRH22" s="101"/>
      <c r="DRI22" s="101"/>
      <c r="DRJ22" s="101"/>
      <c r="DRK22" s="101"/>
      <c r="DRL22" s="101"/>
      <c r="DRM22" s="101"/>
      <c r="DRN22" s="101"/>
      <c r="DRO22" s="101"/>
      <c r="DRP22" s="101"/>
      <c r="DRQ22" s="101"/>
      <c r="DRR22" s="101"/>
      <c r="DRS22" s="101"/>
      <c r="DRT22" s="101"/>
      <c r="DRU22" s="101"/>
      <c r="DRV22" s="101"/>
      <c r="DRW22" s="101"/>
      <c r="DRX22" s="101"/>
      <c r="DRY22" s="101"/>
      <c r="DRZ22" s="101"/>
      <c r="DSA22" s="101"/>
      <c r="DSB22" s="101"/>
      <c r="DSC22" s="101"/>
      <c r="DSD22" s="101"/>
      <c r="DSE22" s="101"/>
      <c r="DSF22" s="101"/>
      <c r="DSG22" s="101"/>
      <c r="DSH22" s="101"/>
      <c r="DSI22" s="101"/>
      <c r="DSJ22" s="101"/>
      <c r="DSK22" s="101"/>
      <c r="DSL22" s="101"/>
      <c r="DSM22" s="101"/>
      <c r="DSN22" s="101"/>
      <c r="DSO22" s="101"/>
      <c r="DSP22" s="101"/>
      <c r="DSQ22" s="101"/>
      <c r="DSR22" s="101"/>
      <c r="DSS22" s="101"/>
      <c r="DST22" s="101"/>
      <c r="DSU22" s="101"/>
      <c r="DSV22" s="101"/>
      <c r="DSW22" s="101"/>
      <c r="DSX22" s="101"/>
      <c r="DSY22" s="101"/>
      <c r="DSZ22" s="101"/>
      <c r="DTA22" s="101"/>
      <c r="DTB22" s="101"/>
      <c r="DTC22" s="101"/>
      <c r="DTD22" s="101"/>
      <c r="DTE22" s="101"/>
      <c r="DTF22" s="101"/>
      <c r="DTG22" s="101"/>
      <c r="DTH22" s="101"/>
      <c r="DTI22" s="101"/>
      <c r="DTJ22" s="101"/>
      <c r="DTK22" s="101"/>
      <c r="DTL22" s="101"/>
      <c r="DTM22" s="101"/>
      <c r="DTN22" s="101"/>
      <c r="DTO22" s="101"/>
      <c r="DTP22" s="101"/>
      <c r="DTQ22" s="101"/>
      <c r="DTR22" s="101"/>
      <c r="DTS22" s="101"/>
      <c r="DTT22" s="101"/>
      <c r="DTU22" s="101"/>
      <c r="DTV22" s="101"/>
      <c r="DTW22" s="101"/>
      <c r="DTX22" s="101"/>
      <c r="DTY22" s="101"/>
      <c r="DTZ22" s="101"/>
      <c r="DUA22" s="101"/>
      <c r="DUB22" s="101"/>
      <c r="DUC22" s="101"/>
      <c r="DUD22" s="101"/>
      <c r="DUE22" s="101"/>
      <c r="DUF22" s="101"/>
      <c r="DUG22" s="101"/>
      <c r="DUH22" s="101"/>
      <c r="DUI22" s="101"/>
      <c r="DUJ22" s="101"/>
      <c r="DUK22" s="101"/>
      <c r="DUL22" s="101"/>
      <c r="DUM22" s="101"/>
      <c r="DUN22" s="101"/>
      <c r="DUO22" s="101"/>
      <c r="DUP22" s="101"/>
      <c r="DUQ22" s="101"/>
      <c r="DUR22" s="101"/>
      <c r="DUS22" s="101"/>
      <c r="DUT22" s="101"/>
      <c r="DUU22" s="101"/>
      <c r="DUV22" s="101"/>
      <c r="DUW22" s="101"/>
      <c r="DUX22" s="101"/>
      <c r="DUY22" s="101"/>
      <c r="DUZ22" s="101"/>
      <c r="DVA22" s="101"/>
      <c r="DVB22" s="101"/>
      <c r="DVC22" s="101"/>
      <c r="DVD22" s="101"/>
      <c r="DVE22" s="101"/>
      <c r="DVF22" s="101"/>
      <c r="DVG22" s="101"/>
      <c r="DVH22" s="101"/>
      <c r="DVI22" s="101"/>
      <c r="DVJ22" s="101"/>
      <c r="DVK22" s="101"/>
      <c r="DVL22" s="101"/>
      <c r="DVM22" s="101"/>
      <c r="DVN22" s="101"/>
      <c r="DVO22" s="101"/>
      <c r="DVP22" s="101"/>
      <c r="DVQ22" s="101"/>
      <c r="DVR22" s="101"/>
      <c r="DVS22" s="101"/>
      <c r="DVT22" s="101"/>
      <c r="DVU22" s="101"/>
      <c r="DVV22" s="101"/>
      <c r="DVW22" s="101"/>
      <c r="DVX22" s="101"/>
      <c r="DVY22" s="101"/>
      <c r="DVZ22" s="101"/>
      <c r="DWA22" s="101"/>
      <c r="DWB22" s="101"/>
      <c r="DWC22" s="101"/>
      <c r="DWD22" s="101"/>
      <c r="DWE22" s="101"/>
      <c r="DWF22" s="101"/>
      <c r="DWG22" s="101"/>
      <c r="DWH22" s="101"/>
      <c r="DWI22" s="101"/>
      <c r="DWJ22" s="101"/>
      <c r="DWK22" s="101"/>
      <c r="DWL22" s="101"/>
      <c r="DWM22" s="101"/>
      <c r="DWN22" s="101"/>
      <c r="DWO22" s="101"/>
      <c r="DWP22" s="101"/>
      <c r="DWQ22" s="101"/>
      <c r="DWR22" s="101"/>
      <c r="DWS22" s="101"/>
      <c r="DWT22" s="101"/>
      <c r="DWU22" s="101"/>
      <c r="DWV22" s="101"/>
      <c r="DWW22" s="101"/>
      <c r="DWX22" s="101"/>
      <c r="DWY22" s="101"/>
      <c r="DWZ22" s="101"/>
      <c r="DXA22" s="101"/>
      <c r="DXB22" s="101"/>
      <c r="DXC22" s="101"/>
      <c r="DXD22" s="101"/>
      <c r="DXE22" s="101"/>
      <c r="DXF22" s="101"/>
      <c r="DXG22" s="101"/>
      <c r="DXH22" s="101"/>
      <c r="DXI22" s="101"/>
      <c r="DXJ22" s="101"/>
      <c r="DXK22" s="101"/>
      <c r="DXL22" s="101"/>
      <c r="DXM22" s="101"/>
      <c r="DXN22" s="101"/>
      <c r="DXO22" s="101"/>
      <c r="DXP22" s="101"/>
      <c r="DXQ22" s="101"/>
      <c r="DXR22" s="101"/>
      <c r="DXS22" s="101"/>
      <c r="DXT22" s="101"/>
      <c r="DXU22" s="101"/>
      <c r="DXV22" s="101"/>
      <c r="DXW22" s="101"/>
      <c r="DXX22" s="101"/>
      <c r="DXY22" s="101"/>
      <c r="DXZ22" s="101"/>
      <c r="DYA22" s="101"/>
      <c r="DYB22" s="101"/>
      <c r="DYC22" s="101"/>
      <c r="DYD22" s="101"/>
      <c r="DYE22" s="101"/>
      <c r="DYF22" s="101"/>
      <c r="DYG22" s="101"/>
      <c r="DYH22" s="101"/>
      <c r="DYI22" s="101"/>
      <c r="DYJ22" s="101"/>
      <c r="DYK22" s="101"/>
      <c r="DYL22" s="101"/>
      <c r="DYM22" s="101"/>
      <c r="DYN22" s="101"/>
      <c r="DYO22" s="101"/>
      <c r="DYP22" s="101"/>
      <c r="DYQ22" s="101"/>
      <c r="DYR22" s="101"/>
      <c r="DYS22" s="101"/>
      <c r="DYT22" s="101"/>
      <c r="DYU22" s="101"/>
      <c r="DYV22" s="101"/>
      <c r="DYW22" s="101"/>
      <c r="DYX22" s="101"/>
      <c r="DYY22" s="101"/>
      <c r="DYZ22" s="101"/>
      <c r="DZA22" s="101"/>
      <c r="DZB22" s="101"/>
      <c r="DZC22" s="101"/>
      <c r="DZD22" s="101"/>
      <c r="DZE22" s="101"/>
      <c r="DZF22" s="101"/>
      <c r="DZG22" s="101"/>
      <c r="DZH22" s="101"/>
      <c r="DZI22" s="101"/>
      <c r="DZJ22" s="101"/>
      <c r="DZK22" s="101"/>
      <c r="DZL22" s="101"/>
      <c r="DZM22" s="101"/>
      <c r="DZN22" s="101"/>
      <c r="DZO22" s="101"/>
      <c r="DZP22" s="101"/>
      <c r="DZQ22" s="101"/>
      <c r="DZR22" s="101"/>
      <c r="DZS22" s="101"/>
      <c r="DZT22" s="101"/>
      <c r="DZU22" s="101"/>
      <c r="DZV22" s="101"/>
      <c r="DZW22" s="101"/>
      <c r="DZX22" s="101"/>
      <c r="DZY22" s="101"/>
      <c r="DZZ22" s="101"/>
      <c r="EAA22" s="101"/>
      <c r="EAB22" s="101"/>
      <c r="EAC22" s="101"/>
      <c r="EAD22" s="101"/>
      <c r="EAE22" s="101"/>
      <c r="EAF22" s="101"/>
      <c r="EAG22" s="101"/>
      <c r="EAH22" s="101"/>
      <c r="EAI22" s="101"/>
      <c r="EAJ22" s="101"/>
      <c r="EAK22" s="101"/>
      <c r="EAL22" s="101"/>
      <c r="EAM22" s="101"/>
      <c r="EAN22" s="101"/>
      <c r="EAO22" s="101"/>
      <c r="EAP22" s="101"/>
      <c r="EAQ22" s="101"/>
      <c r="EAR22" s="101"/>
      <c r="EAS22" s="101"/>
      <c r="EAT22" s="101"/>
      <c r="EAU22" s="101"/>
      <c r="EAV22" s="101"/>
      <c r="EAW22" s="101"/>
      <c r="EAX22" s="101"/>
      <c r="EAY22" s="101"/>
      <c r="EAZ22" s="101"/>
      <c r="EBA22" s="101"/>
      <c r="EBB22" s="101"/>
      <c r="EBC22" s="101"/>
      <c r="EBD22" s="101"/>
      <c r="EBE22" s="101"/>
      <c r="EBF22" s="101"/>
      <c r="EBG22" s="101"/>
      <c r="EBH22" s="101"/>
      <c r="EBI22" s="101"/>
      <c r="EBJ22" s="101"/>
      <c r="EBK22" s="101"/>
      <c r="EBL22" s="101"/>
      <c r="EBM22" s="101"/>
      <c r="EBN22" s="101"/>
      <c r="EBO22" s="101"/>
      <c r="EBP22" s="101"/>
      <c r="EBQ22" s="101"/>
      <c r="EBR22" s="101"/>
      <c r="EBS22" s="101"/>
      <c r="EBT22" s="101"/>
      <c r="EBU22" s="101"/>
      <c r="EBV22" s="101"/>
      <c r="EBW22" s="101"/>
      <c r="EBX22" s="101"/>
      <c r="EBY22" s="101"/>
      <c r="EBZ22" s="101"/>
      <c r="ECA22" s="101"/>
      <c r="ECB22" s="101"/>
      <c r="ECC22" s="101"/>
      <c r="ECD22" s="101"/>
      <c r="ECE22" s="101"/>
      <c r="ECF22" s="101"/>
      <c r="ECG22" s="101"/>
      <c r="ECH22" s="101"/>
      <c r="ECI22" s="101"/>
      <c r="ECJ22" s="101"/>
      <c r="ECK22" s="101"/>
      <c r="ECL22" s="101"/>
      <c r="ECM22" s="101"/>
      <c r="ECN22" s="101"/>
      <c r="ECO22" s="101"/>
      <c r="ECP22" s="101"/>
      <c r="ECQ22" s="101"/>
      <c r="ECR22" s="101"/>
      <c r="ECS22" s="101"/>
      <c r="ECT22" s="101"/>
      <c r="ECU22" s="101"/>
      <c r="ECV22" s="101"/>
      <c r="ECW22" s="101"/>
      <c r="ECX22" s="101"/>
      <c r="ECY22" s="101"/>
      <c r="ECZ22" s="101"/>
      <c r="EDA22" s="101"/>
      <c r="EDB22" s="101"/>
      <c r="EDC22" s="101"/>
      <c r="EDD22" s="101"/>
      <c r="EDE22" s="101"/>
      <c r="EDF22" s="101"/>
      <c r="EDG22" s="101"/>
      <c r="EDH22" s="101"/>
      <c r="EDI22" s="101"/>
      <c r="EDJ22" s="101"/>
      <c r="EDK22" s="101"/>
      <c r="EDL22" s="101"/>
      <c r="EDM22" s="101"/>
      <c r="EDN22" s="101"/>
      <c r="EDO22" s="101"/>
      <c r="EDP22" s="101"/>
      <c r="EDQ22" s="101"/>
      <c r="EDR22" s="101"/>
      <c r="EDS22" s="101"/>
      <c r="EDT22" s="101"/>
      <c r="EDU22" s="101"/>
      <c r="EDV22" s="101"/>
      <c r="EDW22" s="101"/>
      <c r="EDX22" s="101"/>
      <c r="EDY22" s="101"/>
      <c r="EDZ22" s="101"/>
      <c r="EEA22" s="101"/>
      <c r="EEB22" s="101"/>
      <c r="EEC22" s="101"/>
      <c r="EED22" s="101"/>
      <c r="EEE22" s="101"/>
      <c r="EEF22" s="101"/>
      <c r="EEG22" s="101"/>
      <c r="EEH22" s="101"/>
      <c r="EEI22" s="101"/>
      <c r="EEJ22" s="101"/>
      <c r="EEK22" s="101"/>
      <c r="EEL22" s="101"/>
      <c r="EEM22" s="101"/>
      <c r="EEN22" s="101"/>
      <c r="EEO22" s="101"/>
      <c r="EEP22" s="101"/>
      <c r="EEQ22" s="101"/>
      <c r="EER22" s="101"/>
      <c r="EES22" s="101"/>
      <c r="EET22" s="101"/>
      <c r="EEU22" s="101"/>
      <c r="EEV22" s="101"/>
      <c r="EEW22" s="101"/>
      <c r="EEX22" s="101"/>
      <c r="EEY22" s="101"/>
      <c r="EEZ22" s="101"/>
      <c r="EFA22" s="101"/>
      <c r="EFB22" s="101"/>
      <c r="EFC22" s="101"/>
      <c r="EFD22" s="101"/>
      <c r="EFE22" s="101"/>
      <c r="EFF22" s="101"/>
      <c r="EFG22" s="101"/>
      <c r="EFH22" s="101"/>
      <c r="EFI22" s="101"/>
      <c r="EFJ22" s="101"/>
      <c r="EFK22" s="101"/>
      <c r="EFL22" s="101"/>
      <c r="EFM22" s="101"/>
      <c r="EFN22" s="101"/>
      <c r="EFO22" s="101"/>
      <c r="EFP22" s="101"/>
      <c r="EFQ22" s="101"/>
      <c r="EFR22" s="101"/>
      <c r="EFS22" s="101"/>
      <c r="EFT22" s="101"/>
      <c r="EFU22" s="101"/>
      <c r="EFV22" s="101"/>
      <c r="EFW22" s="101"/>
      <c r="EFX22" s="101"/>
      <c r="EFY22" s="101"/>
      <c r="EFZ22" s="101"/>
      <c r="EGA22" s="101"/>
      <c r="EGB22" s="101"/>
      <c r="EGC22" s="101"/>
      <c r="EGD22" s="101"/>
      <c r="EGE22" s="101"/>
      <c r="EGF22" s="101"/>
      <c r="EGG22" s="101"/>
      <c r="EGH22" s="101"/>
      <c r="EGI22" s="101"/>
      <c r="EGJ22" s="101"/>
      <c r="EGK22" s="101"/>
      <c r="EGL22" s="101"/>
      <c r="EGM22" s="101"/>
      <c r="EGN22" s="101"/>
      <c r="EGO22" s="101"/>
      <c r="EGP22" s="101"/>
      <c r="EGQ22" s="101"/>
      <c r="EGR22" s="101"/>
      <c r="EGS22" s="101"/>
      <c r="EGT22" s="101"/>
      <c r="EGU22" s="101"/>
      <c r="EGV22" s="101"/>
      <c r="EGW22" s="101"/>
      <c r="EGX22" s="101"/>
      <c r="EGY22" s="101"/>
      <c r="EGZ22" s="101"/>
      <c r="EHA22" s="101"/>
      <c r="EHB22" s="101"/>
      <c r="EHC22" s="101"/>
      <c r="EHD22" s="101"/>
      <c r="EHE22" s="101"/>
      <c r="EHF22" s="101"/>
      <c r="EHG22" s="101"/>
      <c r="EHH22" s="101"/>
      <c r="EHI22" s="101"/>
      <c r="EHJ22" s="101"/>
      <c r="EHK22" s="101"/>
      <c r="EHL22" s="101"/>
      <c r="EHM22" s="101"/>
      <c r="EHN22" s="101"/>
      <c r="EHO22" s="101"/>
      <c r="EHP22" s="101"/>
      <c r="EHQ22" s="101"/>
      <c r="EHR22" s="101"/>
      <c r="EHS22" s="101"/>
      <c r="EHT22" s="101"/>
      <c r="EHU22" s="101"/>
      <c r="EHV22" s="101"/>
      <c r="EHW22" s="101"/>
      <c r="EHX22" s="101"/>
      <c r="EHY22" s="101"/>
      <c r="EHZ22" s="101"/>
      <c r="EIA22" s="101"/>
      <c r="EIB22" s="101"/>
      <c r="EIC22" s="101"/>
      <c r="EID22" s="101"/>
      <c r="EIE22" s="101"/>
      <c r="EIF22" s="101"/>
      <c r="EIG22" s="101"/>
      <c r="EIH22" s="101"/>
      <c r="EII22" s="101"/>
      <c r="EIJ22" s="101"/>
      <c r="EIK22" s="101"/>
      <c r="EIL22" s="101"/>
      <c r="EIM22" s="101"/>
      <c r="EIN22" s="101"/>
      <c r="EIO22" s="101"/>
      <c r="EIP22" s="101"/>
      <c r="EIQ22" s="101"/>
      <c r="EIR22" s="101"/>
      <c r="EIS22" s="101"/>
      <c r="EIT22" s="101"/>
      <c r="EIU22" s="101"/>
      <c r="EIV22" s="101"/>
      <c r="EIW22" s="101"/>
      <c r="EIX22" s="101"/>
      <c r="EIY22" s="101"/>
      <c r="EIZ22" s="101"/>
      <c r="EJA22" s="101"/>
      <c r="EJB22" s="101"/>
      <c r="EJC22" s="101"/>
      <c r="EJD22" s="101"/>
      <c r="EJE22" s="101"/>
      <c r="EJF22" s="101"/>
      <c r="EJG22" s="101"/>
      <c r="EJH22" s="101"/>
      <c r="EJI22" s="101"/>
      <c r="EJJ22" s="101"/>
      <c r="EJK22" s="101"/>
      <c r="EJL22" s="101"/>
      <c r="EJM22" s="101"/>
      <c r="EJN22" s="101"/>
      <c r="EJO22" s="101"/>
      <c r="EJP22" s="101"/>
      <c r="EJQ22" s="101"/>
      <c r="EJR22" s="101"/>
      <c r="EJS22" s="101"/>
      <c r="EJT22" s="101"/>
      <c r="EJU22" s="101"/>
      <c r="EJV22" s="101"/>
      <c r="EJW22" s="101"/>
      <c r="EJX22" s="101"/>
      <c r="EJY22" s="101"/>
      <c r="EJZ22" s="101"/>
      <c r="EKA22" s="101"/>
      <c r="EKB22" s="101"/>
      <c r="EKC22" s="101"/>
      <c r="EKD22" s="101"/>
      <c r="EKE22" s="101"/>
      <c r="EKF22" s="101"/>
      <c r="EKG22" s="101"/>
      <c r="EKH22" s="101"/>
      <c r="EKI22" s="101"/>
      <c r="EKJ22" s="101"/>
      <c r="EKK22" s="101"/>
      <c r="EKL22" s="101"/>
      <c r="EKM22" s="101"/>
      <c r="EKN22" s="101"/>
      <c r="EKO22" s="101"/>
      <c r="EKP22" s="101"/>
      <c r="EKQ22" s="101"/>
      <c r="EKR22" s="101"/>
      <c r="EKS22" s="101"/>
      <c r="EKT22" s="101"/>
      <c r="EKU22" s="101"/>
      <c r="EKV22" s="101"/>
      <c r="EKW22" s="101"/>
      <c r="EKX22" s="101"/>
      <c r="EKY22" s="101"/>
      <c r="EKZ22" s="101"/>
      <c r="ELA22" s="101"/>
      <c r="ELB22" s="101"/>
      <c r="ELC22" s="101"/>
      <c r="ELD22" s="101"/>
      <c r="ELE22" s="101"/>
      <c r="ELF22" s="101"/>
      <c r="ELG22" s="101"/>
      <c r="ELH22" s="101"/>
      <c r="ELI22" s="101"/>
      <c r="ELJ22" s="101"/>
      <c r="ELK22" s="101"/>
      <c r="ELL22" s="101"/>
      <c r="ELM22" s="101"/>
      <c r="ELN22" s="101"/>
      <c r="ELO22" s="101"/>
      <c r="ELP22" s="101"/>
      <c r="ELQ22" s="101"/>
      <c r="ELR22" s="101"/>
      <c r="ELS22" s="101"/>
      <c r="ELT22" s="101"/>
      <c r="ELU22" s="101"/>
      <c r="ELV22" s="101"/>
      <c r="ELW22" s="101"/>
      <c r="ELX22" s="101"/>
      <c r="ELY22" s="101"/>
      <c r="ELZ22" s="101"/>
      <c r="EMA22" s="101"/>
      <c r="EMB22" s="101"/>
      <c r="EMC22" s="101"/>
      <c r="EMD22" s="101"/>
      <c r="EME22" s="101"/>
      <c r="EMF22" s="101"/>
      <c r="EMG22" s="101"/>
      <c r="EMH22" s="101"/>
      <c r="EMI22" s="101"/>
      <c r="EMJ22" s="101"/>
      <c r="EMK22" s="101"/>
      <c r="EML22" s="101"/>
      <c r="EMM22" s="101"/>
      <c r="EMN22" s="101"/>
      <c r="EMO22" s="101"/>
      <c r="EMP22" s="101"/>
      <c r="EMQ22" s="101"/>
      <c r="EMR22" s="101"/>
      <c r="EMS22" s="101"/>
      <c r="EMT22" s="101"/>
      <c r="EMU22" s="101"/>
      <c r="EMV22" s="101"/>
      <c r="EMW22" s="101"/>
      <c r="EMX22" s="101"/>
      <c r="EMY22" s="101"/>
      <c r="EMZ22" s="101"/>
      <c r="ENA22" s="101"/>
      <c r="ENB22" s="101"/>
      <c r="ENC22" s="101"/>
      <c r="END22" s="101"/>
      <c r="ENE22" s="101"/>
      <c r="ENF22" s="101"/>
      <c r="ENG22" s="101"/>
      <c r="ENH22" s="101"/>
      <c r="ENI22" s="101"/>
      <c r="ENJ22" s="101"/>
      <c r="ENK22" s="101"/>
      <c r="ENL22" s="101"/>
      <c r="ENM22" s="101"/>
      <c r="ENN22" s="101"/>
      <c r="ENO22" s="101"/>
      <c r="ENP22" s="101"/>
      <c r="ENQ22" s="101"/>
      <c r="ENR22" s="101"/>
      <c r="ENS22" s="101"/>
      <c r="ENT22" s="101"/>
      <c r="ENU22" s="101"/>
      <c r="ENV22" s="101"/>
      <c r="ENW22" s="101"/>
      <c r="ENX22" s="101"/>
      <c r="ENY22" s="101"/>
      <c r="ENZ22" s="101"/>
      <c r="EOA22" s="101"/>
      <c r="EOB22" s="101"/>
      <c r="EOC22" s="101"/>
      <c r="EOD22" s="101"/>
      <c r="EOE22" s="101"/>
      <c r="EOF22" s="101"/>
      <c r="EOG22" s="101"/>
      <c r="EOH22" s="101"/>
      <c r="EOI22" s="101"/>
      <c r="EOJ22" s="101"/>
      <c r="EOK22" s="101"/>
      <c r="EOL22" s="101"/>
      <c r="EOM22" s="101"/>
      <c r="EON22" s="101"/>
      <c r="EOO22" s="101"/>
      <c r="EOP22" s="101"/>
      <c r="EOQ22" s="101"/>
      <c r="EOR22" s="101"/>
      <c r="EOS22" s="101"/>
      <c r="EOT22" s="101"/>
      <c r="EOU22" s="101"/>
      <c r="EOV22" s="101"/>
      <c r="EOW22" s="101"/>
      <c r="EOX22" s="101"/>
      <c r="EOY22" s="101"/>
      <c r="EOZ22" s="101"/>
      <c r="EPA22" s="101"/>
      <c r="EPB22" s="101"/>
      <c r="EPC22" s="101"/>
      <c r="EPD22" s="101"/>
      <c r="EPE22" s="101"/>
      <c r="EPF22" s="101"/>
      <c r="EPG22" s="101"/>
      <c r="EPH22" s="101"/>
      <c r="EPI22" s="101"/>
      <c r="EPJ22" s="101"/>
      <c r="EPK22" s="101"/>
      <c r="EPL22" s="101"/>
      <c r="EPM22" s="101"/>
      <c r="EPN22" s="101"/>
      <c r="EPO22" s="101"/>
      <c r="EPP22" s="101"/>
      <c r="EPQ22" s="101"/>
      <c r="EPR22" s="101"/>
      <c r="EPS22" s="101"/>
      <c r="EPT22" s="101"/>
      <c r="EPU22" s="101"/>
      <c r="EPV22" s="101"/>
      <c r="EPW22" s="101"/>
      <c r="EPX22" s="101"/>
      <c r="EPY22" s="101"/>
      <c r="EPZ22" s="101"/>
      <c r="EQA22" s="101"/>
      <c r="EQB22" s="101"/>
      <c r="EQC22" s="101"/>
      <c r="EQD22" s="101"/>
      <c r="EQE22" s="101"/>
      <c r="EQF22" s="101"/>
      <c r="EQG22" s="101"/>
      <c r="EQH22" s="101"/>
      <c r="EQI22" s="101"/>
      <c r="EQJ22" s="101"/>
      <c r="EQK22" s="101"/>
      <c r="EQL22" s="101"/>
      <c r="EQM22" s="101"/>
      <c r="EQN22" s="101"/>
      <c r="EQO22" s="101"/>
      <c r="EQP22" s="101"/>
      <c r="EQQ22" s="101"/>
      <c r="EQR22" s="101"/>
      <c r="EQS22" s="101"/>
      <c r="EQT22" s="101"/>
      <c r="EQU22" s="101"/>
      <c r="EQV22" s="101"/>
      <c r="EQW22" s="101"/>
      <c r="EQX22" s="101"/>
      <c r="EQY22" s="101"/>
      <c r="EQZ22" s="101"/>
      <c r="ERA22" s="101"/>
      <c r="ERB22" s="101"/>
      <c r="ERC22" s="101"/>
      <c r="ERD22" s="101"/>
      <c r="ERE22" s="101"/>
      <c r="ERF22" s="101"/>
      <c r="ERG22" s="101"/>
      <c r="ERH22" s="101"/>
      <c r="ERI22" s="101"/>
      <c r="ERJ22" s="101"/>
      <c r="ERK22" s="101"/>
      <c r="ERL22" s="101"/>
      <c r="ERM22" s="101"/>
      <c r="ERN22" s="101"/>
      <c r="ERO22" s="101"/>
      <c r="ERP22" s="101"/>
      <c r="ERQ22" s="101"/>
      <c r="ERR22" s="101"/>
      <c r="ERS22" s="101"/>
      <c r="ERT22" s="101"/>
      <c r="ERU22" s="101"/>
      <c r="ERV22" s="101"/>
      <c r="ERW22" s="101"/>
      <c r="ERX22" s="101"/>
      <c r="ERY22" s="101"/>
      <c r="ERZ22" s="101"/>
      <c r="ESA22" s="101"/>
      <c r="ESB22" s="101"/>
      <c r="ESC22" s="101"/>
      <c r="ESD22" s="101"/>
      <c r="ESE22" s="101"/>
      <c r="ESF22" s="101"/>
      <c r="ESG22" s="101"/>
      <c r="ESH22" s="101"/>
      <c r="ESI22" s="101"/>
      <c r="ESJ22" s="101"/>
      <c r="ESK22" s="101"/>
      <c r="ESL22" s="101"/>
      <c r="ESM22" s="101"/>
      <c r="ESN22" s="101"/>
      <c r="ESO22" s="101"/>
      <c r="ESP22" s="101"/>
      <c r="ESQ22" s="101"/>
      <c r="ESR22" s="101"/>
      <c r="ESS22" s="101"/>
      <c r="EST22" s="101"/>
      <c r="ESU22" s="101"/>
      <c r="ESV22" s="101"/>
      <c r="ESW22" s="101"/>
      <c r="ESX22" s="101"/>
      <c r="ESY22" s="101"/>
      <c r="ESZ22" s="101"/>
      <c r="ETA22" s="101"/>
      <c r="ETB22" s="101"/>
      <c r="ETC22" s="101"/>
      <c r="ETD22" s="101"/>
      <c r="ETE22" s="101"/>
      <c r="ETF22" s="101"/>
      <c r="ETG22" s="101"/>
      <c r="ETH22" s="101"/>
      <c r="ETI22" s="101"/>
      <c r="ETJ22" s="101"/>
      <c r="ETK22" s="101"/>
      <c r="ETL22" s="101"/>
      <c r="ETM22" s="101"/>
      <c r="ETN22" s="101"/>
      <c r="ETO22" s="101"/>
      <c r="ETP22" s="101"/>
      <c r="ETQ22" s="101"/>
      <c r="ETR22" s="101"/>
      <c r="ETS22" s="101"/>
      <c r="ETT22" s="101"/>
      <c r="ETU22" s="101"/>
      <c r="ETV22" s="101"/>
      <c r="ETW22" s="101"/>
      <c r="ETX22" s="101"/>
      <c r="ETY22" s="101"/>
      <c r="ETZ22" s="101"/>
      <c r="EUA22" s="101"/>
      <c r="EUB22" s="101"/>
      <c r="EUC22" s="101"/>
      <c r="EUD22" s="101"/>
      <c r="EUE22" s="101"/>
      <c r="EUF22" s="101"/>
      <c r="EUG22" s="101"/>
      <c r="EUH22" s="101"/>
      <c r="EUI22" s="101"/>
      <c r="EUJ22" s="101"/>
      <c r="EUK22" s="101"/>
      <c r="EUL22" s="101"/>
      <c r="EUM22" s="101"/>
      <c r="EUN22" s="101"/>
      <c r="EUO22" s="101"/>
      <c r="EUP22" s="101"/>
      <c r="EUQ22" s="101"/>
      <c r="EUR22" s="101"/>
      <c r="EUS22" s="101"/>
      <c r="EUT22" s="101"/>
      <c r="EUU22" s="101"/>
      <c r="EUV22" s="101"/>
      <c r="EUW22" s="101"/>
      <c r="EUX22" s="101"/>
      <c r="EUY22" s="101"/>
      <c r="EUZ22" s="101"/>
      <c r="EVA22" s="101"/>
      <c r="EVB22" s="101"/>
      <c r="EVC22" s="101"/>
      <c r="EVD22" s="101"/>
      <c r="EVE22" s="101"/>
      <c r="EVF22" s="101"/>
      <c r="EVG22" s="101"/>
      <c r="EVH22" s="101"/>
      <c r="EVI22" s="101"/>
      <c r="EVJ22" s="101"/>
      <c r="EVK22" s="101"/>
      <c r="EVL22" s="101"/>
      <c r="EVM22" s="101"/>
      <c r="EVN22" s="101"/>
      <c r="EVO22" s="101"/>
      <c r="EVP22" s="101"/>
      <c r="EVQ22" s="101"/>
      <c r="EVR22" s="101"/>
      <c r="EVS22" s="101"/>
      <c r="EVT22" s="101"/>
      <c r="EVU22" s="101"/>
      <c r="EVV22" s="101"/>
      <c r="EVW22" s="101"/>
      <c r="EVX22" s="101"/>
      <c r="EVY22" s="101"/>
      <c r="EVZ22" s="101"/>
      <c r="EWA22" s="101"/>
      <c r="EWB22" s="101"/>
      <c r="EWC22" s="101"/>
      <c r="EWD22" s="101"/>
      <c r="EWE22" s="101"/>
      <c r="EWF22" s="101"/>
      <c r="EWG22" s="101"/>
      <c r="EWH22" s="101"/>
      <c r="EWI22" s="101"/>
      <c r="EWJ22" s="101"/>
      <c r="EWK22" s="101"/>
      <c r="EWL22" s="101"/>
      <c r="EWM22" s="101"/>
      <c r="EWN22" s="101"/>
      <c r="EWO22" s="101"/>
      <c r="EWP22" s="101"/>
      <c r="EWQ22" s="101"/>
      <c r="EWR22" s="101"/>
      <c r="EWS22" s="101"/>
      <c r="EWT22" s="101"/>
      <c r="EWU22" s="101"/>
      <c r="EWV22" s="101"/>
      <c r="EWW22" s="101"/>
      <c r="EWX22" s="101"/>
      <c r="EWY22" s="101"/>
      <c r="EWZ22" s="101"/>
      <c r="EXA22" s="101"/>
      <c r="EXB22" s="101"/>
      <c r="EXC22" s="101"/>
      <c r="EXD22" s="101"/>
      <c r="EXE22" s="101"/>
      <c r="EXF22" s="101"/>
      <c r="EXG22" s="101"/>
      <c r="EXH22" s="101"/>
      <c r="EXI22" s="101"/>
      <c r="EXJ22" s="101"/>
      <c r="EXK22" s="101"/>
      <c r="EXL22" s="101"/>
      <c r="EXM22" s="101"/>
      <c r="EXN22" s="101"/>
      <c r="EXO22" s="101"/>
      <c r="EXP22" s="101"/>
      <c r="EXQ22" s="101"/>
      <c r="EXR22" s="101"/>
      <c r="EXS22" s="101"/>
      <c r="EXT22" s="101"/>
      <c r="EXU22" s="101"/>
      <c r="EXV22" s="101"/>
      <c r="EXW22" s="101"/>
      <c r="EXX22" s="101"/>
      <c r="EXY22" s="101"/>
      <c r="EXZ22" s="101"/>
      <c r="EYA22" s="101"/>
      <c r="EYB22" s="101"/>
      <c r="EYC22" s="101"/>
      <c r="EYD22" s="101"/>
      <c r="EYE22" s="101"/>
      <c r="EYF22" s="101"/>
      <c r="EYG22" s="101"/>
      <c r="EYH22" s="101"/>
      <c r="EYI22" s="101"/>
      <c r="EYJ22" s="101"/>
      <c r="EYK22" s="101"/>
      <c r="EYL22" s="101"/>
      <c r="EYM22" s="101"/>
      <c r="EYN22" s="101"/>
      <c r="EYO22" s="101"/>
      <c r="EYP22" s="101"/>
      <c r="EYQ22" s="101"/>
      <c r="EYR22" s="101"/>
      <c r="EYS22" s="101"/>
      <c r="EYT22" s="101"/>
      <c r="EYU22" s="101"/>
      <c r="EYV22" s="101"/>
      <c r="EYW22" s="101"/>
      <c r="EYX22" s="101"/>
      <c r="EYY22" s="101"/>
      <c r="EYZ22" s="101"/>
      <c r="EZA22" s="101"/>
      <c r="EZB22" s="101"/>
      <c r="EZC22" s="101"/>
      <c r="EZD22" s="101"/>
      <c r="EZE22" s="101"/>
      <c r="EZF22" s="101"/>
      <c r="EZG22" s="101"/>
      <c r="EZH22" s="101"/>
      <c r="EZI22" s="101"/>
      <c r="EZJ22" s="101"/>
      <c r="EZK22" s="101"/>
      <c r="EZL22" s="101"/>
      <c r="EZM22" s="101"/>
      <c r="EZN22" s="101"/>
      <c r="EZO22" s="101"/>
      <c r="EZP22" s="101"/>
      <c r="EZQ22" s="101"/>
      <c r="EZR22" s="101"/>
      <c r="EZS22" s="101"/>
      <c r="EZT22" s="101"/>
      <c r="EZU22" s="101"/>
      <c r="EZV22" s="101"/>
      <c r="EZW22" s="101"/>
      <c r="EZX22" s="101"/>
      <c r="EZY22" s="101"/>
      <c r="EZZ22" s="101"/>
      <c r="FAA22" s="101"/>
      <c r="FAB22" s="101"/>
      <c r="FAC22" s="101"/>
      <c r="FAD22" s="101"/>
      <c r="FAE22" s="101"/>
      <c r="FAF22" s="101"/>
      <c r="FAG22" s="101"/>
      <c r="FAH22" s="101"/>
      <c r="FAI22" s="101"/>
      <c r="FAJ22" s="101"/>
      <c r="FAK22" s="101"/>
      <c r="FAL22" s="101"/>
      <c r="FAM22" s="101"/>
      <c r="FAN22" s="101"/>
      <c r="FAO22" s="101"/>
      <c r="FAP22" s="101"/>
      <c r="FAQ22" s="101"/>
      <c r="FAR22" s="101"/>
      <c r="FAS22" s="101"/>
      <c r="FAT22" s="101"/>
      <c r="FAU22" s="101"/>
      <c r="FAV22" s="101"/>
      <c r="FAW22" s="101"/>
      <c r="FAX22" s="101"/>
      <c r="FAY22" s="101"/>
      <c r="FAZ22" s="101"/>
      <c r="FBA22" s="101"/>
      <c r="FBB22" s="101"/>
      <c r="FBC22" s="101"/>
      <c r="FBD22" s="101"/>
      <c r="FBE22" s="101"/>
      <c r="FBF22" s="101"/>
      <c r="FBG22" s="101"/>
      <c r="FBH22" s="101"/>
      <c r="FBI22" s="101"/>
      <c r="FBJ22" s="101"/>
      <c r="FBK22" s="101"/>
      <c r="FBL22" s="101"/>
      <c r="FBM22" s="101"/>
      <c r="FBN22" s="101"/>
      <c r="FBO22" s="101"/>
      <c r="FBP22" s="101"/>
      <c r="FBQ22" s="101"/>
      <c r="FBR22" s="101"/>
      <c r="FBS22" s="101"/>
      <c r="FBT22" s="101"/>
      <c r="FBU22" s="101"/>
      <c r="FBV22" s="101"/>
      <c r="FBW22" s="101"/>
      <c r="FBX22" s="101"/>
      <c r="FBY22" s="101"/>
      <c r="FBZ22" s="101"/>
      <c r="FCA22" s="101"/>
      <c r="FCB22" s="101"/>
      <c r="FCC22" s="101"/>
      <c r="FCD22" s="101"/>
      <c r="FCE22" s="101"/>
      <c r="FCF22" s="101"/>
      <c r="FCG22" s="101"/>
      <c r="FCH22" s="101"/>
      <c r="FCI22" s="101"/>
      <c r="FCJ22" s="101"/>
      <c r="FCK22" s="101"/>
      <c r="FCL22" s="101"/>
      <c r="FCM22" s="101"/>
      <c r="FCN22" s="101"/>
      <c r="FCO22" s="101"/>
      <c r="FCP22" s="101"/>
      <c r="FCQ22" s="101"/>
      <c r="FCR22" s="101"/>
      <c r="FCS22" s="101"/>
      <c r="FCT22" s="101"/>
      <c r="FCU22" s="101"/>
      <c r="FCV22" s="101"/>
      <c r="FCW22" s="101"/>
      <c r="FCX22" s="101"/>
      <c r="FCY22" s="101"/>
      <c r="FCZ22" s="101"/>
      <c r="FDA22" s="101"/>
      <c r="FDB22" s="101"/>
      <c r="FDC22" s="101"/>
      <c r="FDD22" s="101"/>
      <c r="FDE22" s="101"/>
      <c r="FDF22" s="101"/>
      <c r="FDG22" s="101"/>
      <c r="FDH22" s="101"/>
      <c r="FDI22" s="101"/>
      <c r="FDJ22" s="101"/>
      <c r="FDK22" s="101"/>
      <c r="FDL22" s="101"/>
      <c r="FDM22" s="101"/>
      <c r="FDN22" s="101"/>
      <c r="FDO22" s="101"/>
      <c r="FDP22" s="101"/>
      <c r="FDQ22" s="101"/>
      <c r="FDR22" s="101"/>
      <c r="FDS22" s="101"/>
      <c r="FDT22" s="101"/>
      <c r="FDU22" s="101"/>
      <c r="FDV22" s="101"/>
      <c r="FDW22" s="101"/>
      <c r="FDX22" s="101"/>
      <c r="FDY22" s="101"/>
      <c r="FDZ22" s="101"/>
      <c r="FEA22" s="101"/>
      <c r="FEB22" s="101"/>
      <c r="FEC22" s="101"/>
      <c r="FED22" s="101"/>
      <c r="FEE22" s="101"/>
      <c r="FEF22" s="101"/>
      <c r="FEG22" s="101"/>
      <c r="FEH22" s="101"/>
      <c r="FEI22" s="101"/>
      <c r="FEJ22" s="101"/>
      <c r="FEK22" s="101"/>
      <c r="FEL22" s="101"/>
      <c r="FEM22" s="101"/>
      <c r="FEN22" s="101"/>
      <c r="FEO22" s="101"/>
      <c r="FEP22" s="101"/>
      <c r="FEQ22" s="101"/>
      <c r="FER22" s="101"/>
      <c r="FES22" s="101"/>
      <c r="FET22" s="101"/>
      <c r="FEU22" s="101"/>
      <c r="FEV22" s="101"/>
      <c r="FEW22" s="101"/>
      <c r="FEX22" s="101"/>
      <c r="FEY22" s="101"/>
      <c r="FEZ22" s="101"/>
      <c r="FFA22" s="101"/>
      <c r="FFB22" s="101"/>
      <c r="FFC22" s="101"/>
      <c r="FFD22" s="101"/>
      <c r="FFE22" s="101"/>
      <c r="FFF22" s="101"/>
      <c r="FFG22" s="101"/>
      <c r="FFH22" s="101"/>
      <c r="FFI22" s="101"/>
      <c r="FFJ22" s="101"/>
      <c r="FFK22" s="101"/>
      <c r="FFL22" s="101"/>
      <c r="FFM22" s="101"/>
      <c r="FFN22" s="101"/>
      <c r="FFO22" s="101"/>
      <c r="FFP22" s="101"/>
      <c r="FFQ22" s="101"/>
      <c r="FFR22" s="101"/>
      <c r="FFS22" s="101"/>
      <c r="FFT22" s="101"/>
      <c r="FFU22" s="101"/>
      <c r="FFV22" s="101"/>
      <c r="FFW22" s="101"/>
      <c r="FFX22" s="101"/>
      <c r="FFY22" s="101"/>
      <c r="FFZ22" s="101"/>
      <c r="FGA22" s="101"/>
      <c r="FGB22" s="101"/>
      <c r="FGC22" s="101"/>
      <c r="FGD22" s="101"/>
      <c r="FGE22" s="101"/>
      <c r="FGF22" s="101"/>
      <c r="FGG22" s="101"/>
      <c r="FGH22" s="101"/>
      <c r="FGI22" s="101"/>
      <c r="FGJ22" s="101"/>
      <c r="FGK22" s="101"/>
      <c r="FGL22" s="101"/>
      <c r="FGM22" s="101"/>
      <c r="FGN22" s="101"/>
      <c r="FGO22" s="101"/>
      <c r="FGP22" s="101"/>
      <c r="FGQ22" s="101"/>
      <c r="FGR22" s="101"/>
      <c r="FGS22" s="101"/>
      <c r="FGT22" s="101"/>
      <c r="FGU22" s="101"/>
      <c r="FGV22" s="101"/>
      <c r="FGW22" s="101"/>
      <c r="FGX22" s="101"/>
      <c r="FGY22" s="101"/>
      <c r="FGZ22" s="101"/>
      <c r="FHA22" s="101"/>
      <c r="FHB22" s="101"/>
      <c r="FHC22" s="101"/>
      <c r="FHD22" s="101"/>
      <c r="FHE22" s="101"/>
      <c r="FHF22" s="101"/>
      <c r="FHG22" s="101"/>
      <c r="FHH22" s="101"/>
      <c r="FHI22" s="101"/>
      <c r="FHJ22" s="101"/>
      <c r="FHK22" s="101"/>
      <c r="FHL22" s="101"/>
      <c r="FHM22" s="101"/>
      <c r="FHN22" s="101"/>
      <c r="FHO22" s="101"/>
      <c r="FHP22" s="101"/>
      <c r="FHQ22" s="101"/>
      <c r="FHR22" s="101"/>
      <c r="FHS22" s="101"/>
      <c r="FHT22" s="101"/>
      <c r="FHU22" s="101"/>
      <c r="FHV22" s="101"/>
      <c r="FHW22" s="101"/>
      <c r="FHX22" s="101"/>
      <c r="FHY22" s="101"/>
      <c r="FHZ22" s="101"/>
      <c r="FIA22" s="101"/>
      <c r="FIB22" s="101"/>
      <c r="FIC22" s="101"/>
      <c r="FID22" s="101"/>
      <c r="FIE22" s="101"/>
      <c r="FIF22" s="101"/>
      <c r="FIG22" s="101"/>
      <c r="FIH22" s="101"/>
      <c r="FII22" s="101"/>
      <c r="FIJ22" s="101"/>
      <c r="FIK22" s="101"/>
      <c r="FIL22" s="101"/>
      <c r="FIM22" s="101"/>
      <c r="FIN22" s="101"/>
      <c r="FIO22" s="101"/>
      <c r="FIP22" s="101"/>
      <c r="FIQ22" s="101"/>
      <c r="FIR22" s="101"/>
      <c r="FIS22" s="101"/>
      <c r="FIT22" s="101"/>
      <c r="FIU22" s="101"/>
      <c r="FIV22" s="101"/>
      <c r="FIW22" s="101"/>
      <c r="FIX22" s="101"/>
      <c r="FIY22" s="101"/>
      <c r="FIZ22" s="101"/>
      <c r="FJA22" s="101"/>
      <c r="FJB22" s="101"/>
      <c r="FJC22" s="101"/>
      <c r="FJD22" s="101"/>
      <c r="FJE22" s="101"/>
      <c r="FJF22" s="101"/>
      <c r="FJG22" s="101"/>
      <c r="FJH22" s="101"/>
      <c r="FJI22" s="101"/>
      <c r="FJJ22" s="101"/>
      <c r="FJK22" s="101"/>
      <c r="FJL22" s="101"/>
      <c r="FJM22" s="101"/>
      <c r="FJN22" s="101"/>
      <c r="FJO22" s="101"/>
      <c r="FJP22" s="101"/>
      <c r="FJQ22" s="101"/>
      <c r="FJR22" s="101"/>
      <c r="FJS22" s="101"/>
      <c r="FJT22" s="101"/>
      <c r="FJU22" s="101"/>
      <c r="FJV22" s="101"/>
      <c r="FJW22" s="101"/>
      <c r="FJX22" s="101"/>
      <c r="FJY22" s="101"/>
      <c r="FJZ22" s="101"/>
      <c r="FKA22" s="101"/>
      <c r="FKB22" s="101"/>
      <c r="FKC22" s="101"/>
      <c r="FKD22" s="101"/>
      <c r="FKE22" s="101"/>
      <c r="FKF22" s="101"/>
      <c r="FKG22" s="101"/>
      <c r="FKH22" s="101"/>
      <c r="FKI22" s="101"/>
      <c r="FKJ22" s="101"/>
      <c r="FKK22" s="101"/>
      <c r="FKL22" s="101"/>
      <c r="FKM22" s="101"/>
      <c r="FKN22" s="101"/>
      <c r="FKO22" s="101"/>
      <c r="FKP22" s="101"/>
      <c r="FKQ22" s="101"/>
      <c r="FKR22" s="101"/>
      <c r="FKS22" s="101"/>
      <c r="FKT22" s="101"/>
      <c r="FKU22" s="101"/>
      <c r="FKV22" s="101"/>
      <c r="FKW22" s="101"/>
      <c r="FKX22" s="101"/>
      <c r="FKY22" s="101"/>
      <c r="FKZ22" s="101"/>
      <c r="FLA22" s="101"/>
      <c r="FLB22" s="101"/>
      <c r="FLC22" s="101"/>
      <c r="FLD22" s="101"/>
      <c r="FLE22" s="101"/>
      <c r="FLF22" s="101"/>
      <c r="FLG22" s="101"/>
      <c r="FLH22" s="101"/>
      <c r="FLI22" s="101"/>
      <c r="FLJ22" s="101"/>
      <c r="FLK22" s="101"/>
      <c r="FLL22" s="101"/>
      <c r="FLM22" s="101"/>
      <c r="FLN22" s="101"/>
      <c r="FLO22" s="101"/>
      <c r="FLP22" s="101"/>
      <c r="FLQ22" s="101"/>
      <c r="FLR22" s="101"/>
      <c r="FLS22" s="101"/>
      <c r="FLT22" s="101"/>
      <c r="FLU22" s="101"/>
      <c r="FLV22" s="101"/>
      <c r="FLW22" s="101"/>
      <c r="FLX22" s="101"/>
      <c r="FLY22" s="101"/>
      <c r="FLZ22" s="101"/>
      <c r="FMA22" s="101"/>
      <c r="FMB22" s="101"/>
      <c r="FMC22" s="101"/>
      <c r="FMD22" s="101"/>
      <c r="FME22" s="101"/>
      <c r="FMF22" s="101"/>
      <c r="FMG22" s="101"/>
      <c r="FMH22" s="101"/>
      <c r="FMI22" s="101"/>
      <c r="FMJ22" s="101"/>
      <c r="FMK22" s="101"/>
      <c r="FML22" s="101"/>
      <c r="FMM22" s="101"/>
      <c r="FMN22" s="101"/>
      <c r="FMO22" s="101"/>
      <c r="FMP22" s="101"/>
      <c r="FMQ22" s="101"/>
      <c r="FMR22" s="101"/>
      <c r="FMS22" s="101"/>
      <c r="FMT22" s="101"/>
      <c r="FMU22" s="101"/>
      <c r="FMV22" s="101"/>
      <c r="FMW22" s="101"/>
      <c r="FMX22" s="101"/>
      <c r="FMY22" s="101"/>
      <c r="FMZ22" s="101"/>
      <c r="FNA22" s="101"/>
      <c r="FNB22" s="101"/>
      <c r="FNC22" s="101"/>
      <c r="FND22" s="101"/>
      <c r="FNE22" s="101"/>
      <c r="FNF22" s="101"/>
      <c r="FNG22" s="101"/>
      <c r="FNH22" s="101"/>
      <c r="FNI22" s="101"/>
      <c r="FNJ22" s="101"/>
      <c r="FNK22" s="101"/>
      <c r="FNL22" s="101"/>
      <c r="FNM22" s="101"/>
      <c r="FNN22" s="101"/>
      <c r="FNO22" s="101"/>
      <c r="FNP22" s="101"/>
      <c r="FNQ22" s="101"/>
      <c r="FNR22" s="101"/>
      <c r="FNS22" s="101"/>
      <c r="FNT22" s="101"/>
      <c r="FNU22" s="101"/>
      <c r="FNV22" s="101"/>
      <c r="FNW22" s="101"/>
      <c r="FNX22" s="101"/>
      <c r="FNY22" s="101"/>
      <c r="FNZ22" s="101"/>
      <c r="FOA22" s="101"/>
      <c r="FOB22" s="101"/>
      <c r="FOC22" s="101"/>
      <c r="FOD22" s="101"/>
      <c r="FOE22" s="101"/>
      <c r="FOF22" s="101"/>
      <c r="FOG22" s="101"/>
      <c r="FOH22" s="101"/>
      <c r="FOI22" s="101"/>
      <c r="FOJ22" s="101"/>
      <c r="FOK22" s="101"/>
      <c r="FOL22" s="101"/>
      <c r="FOM22" s="101"/>
      <c r="FON22" s="101"/>
      <c r="FOO22" s="101"/>
      <c r="FOP22" s="101"/>
      <c r="FOQ22" s="101"/>
      <c r="FOR22" s="101"/>
      <c r="FOS22" s="101"/>
      <c r="FOT22" s="101"/>
      <c r="FOU22" s="101"/>
      <c r="FOV22" s="101"/>
      <c r="FOW22" s="101"/>
      <c r="FOX22" s="101"/>
      <c r="FOY22" s="101"/>
      <c r="FOZ22" s="101"/>
      <c r="FPA22" s="101"/>
      <c r="FPB22" s="101"/>
      <c r="FPC22" s="101"/>
      <c r="FPD22" s="101"/>
      <c r="FPE22" s="101"/>
      <c r="FPF22" s="101"/>
      <c r="FPG22" s="101"/>
      <c r="FPH22" s="101"/>
      <c r="FPI22" s="101"/>
      <c r="FPJ22" s="101"/>
      <c r="FPK22" s="101"/>
      <c r="FPL22" s="101"/>
      <c r="FPM22" s="101"/>
      <c r="FPN22" s="101"/>
      <c r="FPO22" s="101"/>
      <c r="FPP22" s="101"/>
      <c r="FPQ22" s="101"/>
      <c r="FPR22" s="101"/>
      <c r="FPS22" s="101"/>
      <c r="FPT22" s="101"/>
      <c r="FPU22" s="101"/>
      <c r="FPV22" s="101"/>
      <c r="FPW22" s="101"/>
      <c r="FPX22" s="101"/>
      <c r="FPY22" s="101"/>
      <c r="FPZ22" s="101"/>
      <c r="FQA22" s="101"/>
      <c r="FQB22" s="101"/>
      <c r="FQC22" s="101"/>
      <c r="FQD22" s="101"/>
      <c r="FQE22" s="101"/>
      <c r="FQF22" s="101"/>
      <c r="FQG22" s="101"/>
      <c r="FQH22" s="101"/>
      <c r="FQI22" s="101"/>
      <c r="FQJ22" s="101"/>
      <c r="FQK22" s="101"/>
      <c r="FQL22" s="101"/>
      <c r="FQM22" s="101"/>
      <c r="FQN22" s="101"/>
      <c r="FQO22" s="101"/>
      <c r="FQP22" s="101"/>
      <c r="FQQ22" s="101"/>
      <c r="FQR22" s="101"/>
      <c r="FQS22" s="101"/>
      <c r="FQT22" s="101"/>
      <c r="FQU22" s="101"/>
      <c r="FQV22" s="101"/>
      <c r="FQW22" s="101"/>
      <c r="FQX22" s="101"/>
      <c r="FQY22" s="101"/>
      <c r="FQZ22" s="101"/>
      <c r="FRA22" s="101"/>
      <c r="FRB22" s="101"/>
      <c r="FRC22" s="101"/>
      <c r="FRD22" s="101"/>
      <c r="FRE22" s="101"/>
      <c r="FRF22" s="101"/>
      <c r="FRG22" s="101"/>
      <c r="FRH22" s="101"/>
      <c r="FRI22" s="101"/>
      <c r="FRJ22" s="101"/>
      <c r="FRK22" s="101"/>
      <c r="FRL22" s="101"/>
      <c r="FRM22" s="101"/>
      <c r="FRN22" s="101"/>
      <c r="FRO22" s="101"/>
      <c r="FRP22" s="101"/>
      <c r="FRQ22" s="101"/>
      <c r="FRR22" s="101"/>
      <c r="FRS22" s="101"/>
      <c r="FRT22" s="101"/>
      <c r="FRU22" s="101"/>
      <c r="FRV22" s="101"/>
      <c r="FRW22" s="101"/>
      <c r="FRX22" s="101"/>
      <c r="FRY22" s="101"/>
      <c r="FRZ22" s="101"/>
      <c r="FSA22" s="101"/>
      <c r="FSB22" s="101"/>
      <c r="FSC22" s="101"/>
      <c r="FSD22" s="101"/>
      <c r="FSE22" s="101"/>
      <c r="FSF22" s="101"/>
      <c r="FSG22" s="101"/>
      <c r="FSH22" s="101"/>
      <c r="FSI22" s="101"/>
      <c r="FSJ22" s="101"/>
      <c r="FSK22" s="101"/>
      <c r="FSL22" s="101"/>
      <c r="FSM22" s="101"/>
      <c r="FSN22" s="101"/>
      <c r="FSO22" s="101"/>
      <c r="FSP22" s="101"/>
      <c r="FSQ22" s="101"/>
      <c r="FSR22" s="101"/>
      <c r="FSS22" s="101"/>
      <c r="FST22" s="101"/>
      <c r="FSU22" s="101"/>
      <c r="FSV22" s="101"/>
      <c r="FSW22" s="101"/>
      <c r="FSX22" s="101"/>
      <c r="FSY22" s="101"/>
      <c r="FSZ22" s="101"/>
      <c r="FTA22" s="101"/>
      <c r="FTB22" s="101"/>
      <c r="FTC22" s="101"/>
      <c r="FTD22" s="101"/>
      <c r="FTE22" s="101"/>
      <c r="FTF22" s="101"/>
      <c r="FTG22" s="101"/>
      <c r="FTH22" s="101"/>
      <c r="FTI22" s="101"/>
      <c r="FTJ22" s="101"/>
      <c r="FTK22" s="101"/>
      <c r="FTL22" s="101"/>
      <c r="FTM22" s="101"/>
      <c r="FTN22" s="101"/>
      <c r="FTO22" s="101"/>
      <c r="FTP22" s="101"/>
      <c r="FTQ22" s="101"/>
      <c r="FTR22" s="101"/>
      <c r="FTS22" s="101"/>
      <c r="FTT22" s="101"/>
      <c r="FTU22" s="101"/>
      <c r="FTV22" s="101"/>
      <c r="FTW22" s="101"/>
      <c r="FTX22" s="101"/>
      <c r="FTY22" s="101"/>
      <c r="FTZ22" s="101"/>
      <c r="FUA22" s="101"/>
      <c r="FUB22" s="101"/>
      <c r="FUC22" s="101"/>
      <c r="FUD22" s="101"/>
      <c r="FUE22" s="101"/>
      <c r="FUF22" s="101"/>
      <c r="FUG22" s="101"/>
      <c r="FUH22" s="101"/>
      <c r="FUI22" s="101"/>
      <c r="FUJ22" s="101"/>
      <c r="FUK22" s="101"/>
      <c r="FUL22" s="101"/>
      <c r="FUM22" s="101"/>
      <c r="FUN22" s="101"/>
      <c r="FUO22" s="101"/>
      <c r="FUP22" s="101"/>
      <c r="FUQ22" s="101"/>
      <c r="FUR22" s="101"/>
      <c r="FUS22" s="101"/>
      <c r="FUT22" s="101"/>
      <c r="FUU22" s="101"/>
      <c r="FUV22" s="101"/>
      <c r="FUW22" s="101"/>
      <c r="FUX22" s="101"/>
      <c r="FUY22" s="101"/>
      <c r="FUZ22" s="101"/>
      <c r="FVA22" s="101"/>
      <c r="FVB22" s="101"/>
      <c r="FVC22" s="101"/>
      <c r="FVD22" s="101"/>
      <c r="FVE22" s="101"/>
      <c r="FVF22" s="101"/>
      <c r="FVG22" s="101"/>
      <c r="FVH22" s="101"/>
      <c r="FVI22" s="101"/>
      <c r="FVJ22" s="101"/>
      <c r="FVK22" s="101"/>
      <c r="FVL22" s="101"/>
      <c r="FVM22" s="101"/>
      <c r="FVN22" s="101"/>
      <c r="FVO22" s="101"/>
      <c r="FVP22" s="101"/>
      <c r="FVQ22" s="101"/>
      <c r="FVR22" s="101"/>
      <c r="FVS22" s="101"/>
      <c r="FVT22" s="101"/>
      <c r="FVU22" s="101"/>
      <c r="FVV22" s="101"/>
      <c r="FVW22" s="101"/>
      <c r="FVX22" s="101"/>
      <c r="FVY22" s="101"/>
      <c r="FVZ22" s="101"/>
      <c r="FWA22" s="101"/>
      <c r="FWB22" s="101"/>
      <c r="FWC22" s="101"/>
      <c r="FWD22" s="101"/>
      <c r="FWE22" s="101"/>
      <c r="FWF22" s="101"/>
      <c r="FWG22" s="101"/>
      <c r="FWH22" s="101"/>
      <c r="FWI22" s="101"/>
      <c r="FWJ22" s="101"/>
      <c r="FWK22" s="101"/>
      <c r="FWL22" s="101"/>
      <c r="FWM22" s="101"/>
      <c r="FWN22" s="101"/>
      <c r="FWO22" s="101"/>
      <c r="FWP22" s="101"/>
      <c r="FWQ22" s="101"/>
      <c r="FWR22" s="101"/>
      <c r="FWS22" s="101"/>
      <c r="FWT22" s="101"/>
      <c r="FWU22" s="101"/>
      <c r="FWV22" s="101"/>
      <c r="FWW22" s="101"/>
      <c r="FWX22" s="101"/>
      <c r="FWY22" s="101"/>
      <c r="FWZ22" s="101"/>
      <c r="FXA22" s="101"/>
      <c r="FXB22" s="101"/>
      <c r="FXC22" s="101"/>
      <c r="FXD22" s="101"/>
      <c r="FXE22" s="101"/>
      <c r="FXF22" s="101"/>
      <c r="FXG22" s="101"/>
      <c r="FXH22" s="101"/>
      <c r="FXI22" s="101"/>
      <c r="FXJ22" s="101"/>
      <c r="FXK22" s="101"/>
      <c r="FXL22" s="101"/>
      <c r="FXM22" s="101"/>
      <c r="FXN22" s="101"/>
      <c r="FXO22" s="101"/>
      <c r="FXP22" s="101"/>
      <c r="FXQ22" s="101"/>
      <c r="FXR22" s="101"/>
      <c r="FXS22" s="101"/>
      <c r="FXT22" s="101"/>
      <c r="FXU22" s="101"/>
      <c r="FXV22" s="101"/>
      <c r="FXW22" s="101"/>
      <c r="FXX22" s="101"/>
      <c r="FXY22" s="101"/>
      <c r="FXZ22" s="101"/>
      <c r="FYA22" s="101"/>
      <c r="FYB22" s="101"/>
      <c r="FYC22" s="101"/>
      <c r="FYD22" s="101"/>
      <c r="FYE22" s="101"/>
      <c r="FYF22" s="101"/>
      <c r="FYG22" s="101"/>
      <c r="FYH22" s="101"/>
      <c r="FYI22" s="101"/>
      <c r="FYJ22" s="101"/>
      <c r="FYK22" s="101"/>
      <c r="FYL22" s="101"/>
      <c r="FYM22" s="101"/>
      <c r="FYN22" s="101"/>
      <c r="FYO22" s="101"/>
      <c r="FYP22" s="101"/>
      <c r="FYQ22" s="101"/>
      <c r="FYR22" s="101"/>
      <c r="FYS22" s="101"/>
      <c r="FYT22" s="101"/>
      <c r="FYU22" s="101"/>
      <c r="FYV22" s="101"/>
      <c r="FYW22" s="101"/>
      <c r="FYX22" s="101"/>
      <c r="FYY22" s="101"/>
      <c r="FYZ22" s="101"/>
      <c r="FZA22" s="101"/>
      <c r="FZB22" s="101"/>
      <c r="FZC22" s="101"/>
      <c r="FZD22" s="101"/>
      <c r="FZE22" s="101"/>
      <c r="FZF22" s="101"/>
      <c r="FZG22" s="101"/>
      <c r="FZH22" s="101"/>
      <c r="FZI22" s="101"/>
      <c r="FZJ22" s="101"/>
      <c r="FZK22" s="101"/>
      <c r="FZL22" s="101"/>
      <c r="FZM22" s="101"/>
      <c r="FZN22" s="101"/>
      <c r="FZO22" s="101"/>
      <c r="FZP22" s="101"/>
      <c r="FZQ22" s="101"/>
      <c r="FZR22" s="101"/>
      <c r="FZS22" s="101"/>
      <c r="FZT22" s="101"/>
      <c r="FZU22" s="101"/>
      <c r="FZV22" s="101"/>
      <c r="FZW22" s="101"/>
      <c r="FZX22" s="101"/>
      <c r="FZY22" s="101"/>
      <c r="FZZ22" s="101"/>
      <c r="GAA22" s="101"/>
      <c r="GAB22" s="101"/>
      <c r="GAC22" s="101"/>
      <c r="GAD22" s="101"/>
      <c r="GAE22" s="101"/>
      <c r="GAF22" s="101"/>
      <c r="GAG22" s="101"/>
      <c r="GAH22" s="101"/>
      <c r="GAI22" s="101"/>
      <c r="GAJ22" s="101"/>
      <c r="GAK22" s="101"/>
      <c r="GAL22" s="101"/>
      <c r="GAM22" s="101"/>
      <c r="GAN22" s="101"/>
      <c r="GAO22" s="101"/>
      <c r="GAP22" s="101"/>
      <c r="GAQ22" s="101"/>
      <c r="GAR22" s="101"/>
      <c r="GAS22" s="101"/>
      <c r="GAT22" s="101"/>
      <c r="GAU22" s="101"/>
      <c r="GAV22" s="101"/>
      <c r="GAW22" s="101"/>
      <c r="GAX22" s="101"/>
      <c r="GAY22" s="101"/>
      <c r="GAZ22" s="101"/>
      <c r="GBA22" s="101"/>
      <c r="GBB22" s="101"/>
      <c r="GBC22" s="101"/>
      <c r="GBD22" s="101"/>
      <c r="GBE22" s="101"/>
      <c r="GBF22" s="101"/>
      <c r="GBG22" s="101"/>
      <c r="GBH22" s="101"/>
      <c r="GBI22" s="101"/>
      <c r="GBJ22" s="101"/>
      <c r="GBK22" s="101"/>
      <c r="GBL22" s="101"/>
      <c r="GBM22" s="101"/>
      <c r="GBN22" s="101"/>
      <c r="GBO22" s="101"/>
      <c r="GBP22" s="101"/>
      <c r="GBQ22" s="101"/>
      <c r="GBR22" s="101"/>
      <c r="GBS22" s="101"/>
      <c r="GBT22" s="101"/>
      <c r="GBU22" s="101"/>
      <c r="GBV22" s="101"/>
      <c r="GBW22" s="101"/>
      <c r="GBX22" s="101"/>
      <c r="GBY22" s="101"/>
      <c r="GBZ22" s="101"/>
      <c r="GCA22" s="101"/>
      <c r="GCB22" s="101"/>
      <c r="GCC22" s="101"/>
      <c r="GCD22" s="101"/>
      <c r="GCE22" s="101"/>
      <c r="GCF22" s="101"/>
      <c r="GCG22" s="101"/>
      <c r="GCH22" s="101"/>
      <c r="GCI22" s="101"/>
      <c r="GCJ22" s="101"/>
      <c r="GCK22" s="101"/>
      <c r="GCL22" s="101"/>
      <c r="GCM22" s="101"/>
      <c r="GCN22" s="101"/>
      <c r="GCO22" s="101"/>
      <c r="GCP22" s="101"/>
      <c r="GCQ22" s="101"/>
      <c r="GCR22" s="101"/>
      <c r="GCS22" s="101"/>
      <c r="GCT22" s="101"/>
      <c r="GCU22" s="101"/>
      <c r="GCV22" s="101"/>
      <c r="GCW22" s="101"/>
      <c r="GCX22" s="101"/>
      <c r="GCY22" s="101"/>
      <c r="GCZ22" s="101"/>
      <c r="GDA22" s="101"/>
      <c r="GDB22" s="101"/>
      <c r="GDC22" s="101"/>
      <c r="GDD22" s="101"/>
      <c r="GDE22" s="101"/>
      <c r="GDF22" s="101"/>
      <c r="GDG22" s="101"/>
      <c r="GDH22" s="101"/>
      <c r="GDI22" s="101"/>
      <c r="GDJ22" s="101"/>
      <c r="GDK22" s="101"/>
      <c r="GDL22" s="101"/>
      <c r="GDM22" s="101"/>
      <c r="GDN22" s="101"/>
      <c r="GDO22" s="101"/>
      <c r="GDP22" s="101"/>
      <c r="GDQ22" s="101"/>
      <c r="GDR22" s="101"/>
      <c r="GDS22" s="101"/>
      <c r="GDT22" s="101"/>
      <c r="GDU22" s="101"/>
      <c r="GDV22" s="101"/>
      <c r="GDW22" s="101"/>
      <c r="GDX22" s="101"/>
      <c r="GDY22" s="101"/>
      <c r="GDZ22" s="101"/>
      <c r="GEA22" s="101"/>
      <c r="GEB22" s="101"/>
      <c r="GEC22" s="101"/>
      <c r="GED22" s="101"/>
      <c r="GEE22" s="101"/>
      <c r="GEF22" s="101"/>
      <c r="GEG22" s="101"/>
      <c r="GEH22" s="101"/>
      <c r="GEI22" s="101"/>
      <c r="GEJ22" s="101"/>
      <c r="GEK22" s="101"/>
      <c r="GEL22" s="101"/>
      <c r="GEM22" s="101"/>
      <c r="GEN22" s="101"/>
      <c r="GEO22" s="101"/>
      <c r="GEP22" s="101"/>
      <c r="GEQ22" s="101"/>
      <c r="GER22" s="101"/>
      <c r="GES22" s="101"/>
      <c r="GET22" s="101"/>
      <c r="GEU22" s="101"/>
      <c r="GEV22" s="101"/>
      <c r="GEW22" s="101"/>
      <c r="GEX22" s="101"/>
      <c r="GEY22" s="101"/>
      <c r="GEZ22" s="101"/>
      <c r="GFA22" s="101"/>
      <c r="GFB22" s="101"/>
      <c r="GFC22" s="101"/>
      <c r="GFD22" s="101"/>
      <c r="GFE22" s="101"/>
      <c r="GFF22" s="101"/>
      <c r="GFG22" s="101"/>
      <c r="GFH22" s="101"/>
      <c r="GFI22" s="101"/>
      <c r="GFJ22" s="101"/>
      <c r="GFK22" s="101"/>
      <c r="GFL22" s="101"/>
      <c r="GFM22" s="101"/>
      <c r="GFN22" s="101"/>
      <c r="GFO22" s="101"/>
      <c r="GFP22" s="101"/>
      <c r="GFQ22" s="101"/>
      <c r="GFR22" s="101"/>
      <c r="GFS22" s="101"/>
      <c r="GFT22" s="101"/>
      <c r="GFU22" s="101"/>
      <c r="GFV22" s="101"/>
      <c r="GFW22" s="101"/>
      <c r="GFX22" s="101"/>
      <c r="GFY22" s="101"/>
      <c r="GFZ22" s="101"/>
      <c r="GGA22" s="101"/>
      <c r="GGB22" s="101"/>
      <c r="GGC22" s="101"/>
      <c r="GGD22" s="101"/>
      <c r="GGE22" s="101"/>
      <c r="GGF22" s="101"/>
      <c r="GGG22" s="101"/>
      <c r="GGH22" s="101"/>
      <c r="GGI22" s="101"/>
      <c r="GGJ22" s="101"/>
      <c r="GGK22" s="101"/>
      <c r="GGL22" s="101"/>
      <c r="GGM22" s="101"/>
      <c r="GGN22" s="101"/>
      <c r="GGO22" s="101"/>
      <c r="GGP22" s="101"/>
      <c r="GGQ22" s="101"/>
      <c r="GGR22" s="101"/>
      <c r="GGS22" s="101"/>
      <c r="GGT22" s="101"/>
      <c r="GGU22" s="101"/>
      <c r="GGV22" s="101"/>
      <c r="GGW22" s="101"/>
      <c r="GGX22" s="101"/>
      <c r="GGY22" s="101"/>
      <c r="GGZ22" s="101"/>
      <c r="GHA22" s="101"/>
      <c r="GHB22" s="101"/>
      <c r="GHC22" s="101"/>
      <c r="GHD22" s="101"/>
      <c r="GHE22" s="101"/>
      <c r="GHF22" s="101"/>
      <c r="GHG22" s="101"/>
      <c r="GHH22" s="101"/>
      <c r="GHI22" s="101"/>
      <c r="GHJ22" s="101"/>
      <c r="GHK22" s="101"/>
      <c r="GHL22" s="101"/>
      <c r="GHM22" s="101"/>
      <c r="GHN22" s="101"/>
      <c r="GHO22" s="101"/>
      <c r="GHP22" s="101"/>
      <c r="GHQ22" s="101"/>
      <c r="GHR22" s="101"/>
      <c r="GHS22" s="101"/>
      <c r="GHT22" s="101"/>
      <c r="GHU22" s="101"/>
      <c r="GHV22" s="101"/>
      <c r="GHW22" s="101"/>
      <c r="GHX22" s="101"/>
      <c r="GHY22" s="101"/>
      <c r="GHZ22" s="101"/>
      <c r="GIA22" s="101"/>
      <c r="GIB22" s="101"/>
      <c r="GIC22" s="101"/>
      <c r="GID22" s="101"/>
      <c r="GIE22" s="101"/>
      <c r="GIF22" s="101"/>
      <c r="GIG22" s="101"/>
      <c r="GIH22" s="101"/>
      <c r="GII22" s="101"/>
      <c r="GIJ22" s="101"/>
      <c r="GIK22" s="101"/>
      <c r="GIL22" s="101"/>
      <c r="GIM22" s="101"/>
      <c r="GIN22" s="101"/>
      <c r="GIO22" s="101"/>
      <c r="GIP22" s="101"/>
      <c r="GIQ22" s="101"/>
      <c r="GIR22" s="101"/>
      <c r="GIS22" s="101"/>
      <c r="GIT22" s="101"/>
      <c r="GIU22" s="101"/>
      <c r="GIV22" s="101"/>
      <c r="GIW22" s="101"/>
      <c r="GIX22" s="101"/>
      <c r="GIY22" s="101"/>
      <c r="GIZ22" s="101"/>
      <c r="GJA22" s="101"/>
      <c r="GJB22" s="101"/>
      <c r="GJC22" s="101"/>
      <c r="GJD22" s="101"/>
      <c r="GJE22" s="101"/>
      <c r="GJF22" s="101"/>
      <c r="GJG22" s="101"/>
      <c r="GJH22" s="101"/>
      <c r="GJI22" s="101"/>
      <c r="GJJ22" s="101"/>
      <c r="GJK22" s="101"/>
      <c r="GJL22" s="101"/>
      <c r="GJM22" s="101"/>
      <c r="GJN22" s="101"/>
      <c r="GJO22" s="101"/>
      <c r="GJP22" s="101"/>
      <c r="GJQ22" s="101"/>
      <c r="GJR22" s="101"/>
      <c r="GJS22" s="101"/>
      <c r="GJT22" s="101"/>
      <c r="GJU22" s="101"/>
      <c r="GJV22" s="101"/>
      <c r="GJW22" s="101"/>
      <c r="GJX22" s="101"/>
      <c r="GJY22" s="101"/>
      <c r="GJZ22" s="101"/>
      <c r="GKA22" s="101"/>
      <c r="GKB22" s="101"/>
      <c r="GKC22" s="101"/>
      <c r="GKD22" s="101"/>
      <c r="GKE22" s="101"/>
      <c r="GKF22" s="101"/>
      <c r="GKG22" s="101"/>
      <c r="GKH22" s="101"/>
      <c r="GKI22" s="101"/>
      <c r="GKJ22" s="101"/>
      <c r="GKK22" s="101"/>
      <c r="GKL22" s="101"/>
      <c r="GKM22" s="101"/>
      <c r="GKN22" s="101"/>
      <c r="GKO22" s="101"/>
      <c r="GKP22" s="101"/>
      <c r="GKQ22" s="101"/>
      <c r="GKR22" s="101"/>
      <c r="GKS22" s="101"/>
      <c r="GKT22" s="101"/>
      <c r="GKU22" s="101"/>
      <c r="GKV22" s="101"/>
      <c r="GKW22" s="101"/>
      <c r="GKX22" s="101"/>
      <c r="GKY22" s="101"/>
      <c r="GKZ22" s="101"/>
      <c r="GLA22" s="101"/>
      <c r="GLB22" s="101"/>
      <c r="GLC22" s="101"/>
      <c r="GLD22" s="101"/>
      <c r="GLE22" s="101"/>
      <c r="GLF22" s="101"/>
      <c r="GLG22" s="101"/>
      <c r="GLH22" s="101"/>
      <c r="GLI22" s="101"/>
      <c r="GLJ22" s="101"/>
      <c r="GLK22" s="101"/>
      <c r="GLL22" s="101"/>
      <c r="GLM22" s="101"/>
      <c r="GLN22" s="101"/>
      <c r="GLO22" s="101"/>
      <c r="GLP22" s="101"/>
      <c r="GLQ22" s="101"/>
      <c r="GLR22" s="101"/>
      <c r="GLS22" s="101"/>
      <c r="GLT22" s="101"/>
      <c r="GLU22" s="101"/>
      <c r="GLV22" s="101"/>
      <c r="GLW22" s="101"/>
      <c r="GLX22" s="101"/>
      <c r="GLY22" s="101"/>
      <c r="GLZ22" s="101"/>
      <c r="GMA22" s="101"/>
      <c r="GMB22" s="101"/>
      <c r="GMC22" s="101"/>
      <c r="GMD22" s="101"/>
      <c r="GME22" s="101"/>
      <c r="GMF22" s="101"/>
      <c r="GMG22" s="101"/>
      <c r="GMH22" s="101"/>
      <c r="GMI22" s="101"/>
      <c r="GMJ22" s="101"/>
      <c r="GMK22" s="101"/>
      <c r="GML22" s="101"/>
      <c r="GMM22" s="101"/>
      <c r="GMN22" s="101"/>
      <c r="GMO22" s="101"/>
      <c r="GMP22" s="101"/>
      <c r="GMQ22" s="101"/>
      <c r="GMR22" s="101"/>
      <c r="GMS22" s="101"/>
      <c r="GMT22" s="101"/>
      <c r="GMU22" s="101"/>
      <c r="GMV22" s="101"/>
      <c r="GMW22" s="101"/>
      <c r="GMX22" s="101"/>
      <c r="GMY22" s="101"/>
      <c r="GMZ22" s="101"/>
      <c r="GNA22" s="101"/>
      <c r="GNB22" s="101"/>
      <c r="GNC22" s="101"/>
      <c r="GND22" s="101"/>
      <c r="GNE22" s="101"/>
      <c r="GNF22" s="101"/>
      <c r="GNG22" s="101"/>
      <c r="GNH22" s="101"/>
      <c r="GNI22" s="101"/>
      <c r="GNJ22" s="101"/>
      <c r="GNK22" s="101"/>
      <c r="GNL22" s="101"/>
      <c r="GNM22" s="101"/>
      <c r="GNN22" s="101"/>
      <c r="GNO22" s="101"/>
      <c r="GNP22" s="101"/>
      <c r="GNQ22" s="101"/>
      <c r="GNR22" s="101"/>
      <c r="GNS22" s="101"/>
      <c r="GNT22" s="101"/>
      <c r="GNU22" s="101"/>
      <c r="GNV22" s="101"/>
      <c r="GNW22" s="101"/>
      <c r="GNX22" s="101"/>
      <c r="GNY22" s="101"/>
      <c r="GNZ22" s="101"/>
      <c r="GOA22" s="101"/>
      <c r="GOB22" s="101"/>
      <c r="GOC22" s="101"/>
      <c r="GOD22" s="101"/>
      <c r="GOE22" s="101"/>
      <c r="GOF22" s="101"/>
      <c r="GOG22" s="101"/>
      <c r="GOH22" s="101"/>
      <c r="GOI22" s="101"/>
      <c r="GOJ22" s="101"/>
      <c r="GOK22" s="101"/>
      <c r="GOL22" s="101"/>
      <c r="GOM22" s="101"/>
      <c r="GON22" s="101"/>
      <c r="GOO22" s="101"/>
      <c r="GOP22" s="101"/>
      <c r="GOQ22" s="101"/>
      <c r="GOR22" s="101"/>
      <c r="GOS22" s="101"/>
      <c r="GOT22" s="101"/>
      <c r="GOU22" s="101"/>
      <c r="GOV22" s="101"/>
      <c r="GOW22" s="101"/>
      <c r="GOX22" s="101"/>
      <c r="GOY22" s="101"/>
      <c r="GOZ22" s="101"/>
      <c r="GPA22" s="101"/>
      <c r="GPB22" s="101"/>
      <c r="GPC22" s="101"/>
      <c r="GPD22" s="101"/>
      <c r="GPE22" s="101"/>
      <c r="GPF22" s="101"/>
      <c r="GPG22" s="101"/>
      <c r="GPH22" s="101"/>
      <c r="GPI22" s="101"/>
      <c r="GPJ22" s="101"/>
      <c r="GPK22" s="101"/>
      <c r="GPL22" s="101"/>
      <c r="GPM22" s="101"/>
      <c r="GPN22" s="101"/>
      <c r="GPO22" s="101"/>
      <c r="GPP22" s="101"/>
      <c r="GPQ22" s="101"/>
      <c r="GPR22" s="101"/>
      <c r="GPS22" s="101"/>
      <c r="GPT22" s="101"/>
      <c r="GPU22" s="101"/>
      <c r="GPV22" s="101"/>
      <c r="GPW22" s="101"/>
      <c r="GPX22" s="101"/>
      <c r="GPY22" s="101"/>
      <c r="GPZ22" s="101"/>
      <c r="GQA22" s="101"/>
      <c r="GQB22" s="101"/>
      <c r="GQC22" s="101"/>
      <c r="GQD22" s="101"/>
      <c r="GQE22" s="101"/>
      <c r="GQF22" s="101"/>
      <c r="GQG22" s="101"/>
      <c r="GQH22" s="101"/>
      <c r="GQI22" s="101"/>
      <c r="GQJ22" s="101"/>
      <c r="GQK22" s="101"/>
      <c r="GQL22" s="101"/>
      <c r="GQM22" s="101"/>
      <c r="GQN22" s="101"/>
      <c r="GQO22" s="101"/>
      <c r="GQP22" s="101"/>
      <c r="GQQ22" s="101"/>
      <c r="GQR22" s="101"/>
      <c r="GQS22" s="101"/>
      <c r="GQT22" s="101"/>
      <c r="GQU22" s="101"/>
      <c r="GQV22" s="101"/>
      <c r="GQW22" s="101"/>
      <c r="GQX22" s="101"/>
      <c r="GQY22" s="101"/>
      <c r="GQZ22" s="101"/>
      <c r="GRA22" s="101"/>
      <c r="GRB22" s="101"/>
      <c r="GRC22" s="101"/>
      <c r="GRD22" s="101"/>
      <c r="GRE22" s="101"/>
      <c r="GRF22" s="101"/>
      <c r="GRG22" s="101"/>
      <c r="GRH22" s="101"/>
      <c r="GRI22" s="101"/>
      <c r="GRJ22" s="101"/>
      <c r="GRK22" s="101"/>
      <c r="GRL22" s="101"/>
      <c r="GRM22" s="101"/>
      <c r="GRN22" s="101"/>
      <c r="GRO22" s="101"/>
      <c r="GRP22" s="101"/>
      <c r="GRQ22" s="101"/>
      <c r="GRR22" s="101"/>
      <c r="GRS22" s="101"/>
      <c r="GRT22" s="101"/>
      <c r="GRU22" s="101"/>
      <c r="GRV22" s="101"/>
      <c r="GRW22" s="101"/>
      <c r="GRX22" s="101"/>
      <c r="GRY22" s="101"/>
      <c r="GRZ22" s="101"/>
      <c r="GSA22" s="101"/>
      <c r="GSB22" s="101"/>
      <c r="GSC22" s="101"/>
      <c r="GSD22" s="101"/>
      <c r="GSE22" s="101"/>
      <c r="GSF22" s="101"/>
      <c r="GSG22" s="101"/>
      <c r="GSH22" s="101"/>
      <c r="GSI22" s="101"/>
      <c r="GSJ22" s="101"/>
      <c r="GSK22" s="101"/>
      <c r="GSL22" s="101"/>
      <c r="GSM22" s="101"/>
      <c r="GSN22" s="101"/>
      <c r="GSO22" s="101"/>
      <c r="GSP22" s="101"/>
      <c r="GSQ22" s="101"/>
      <c r="GSR22" s="101"/>
      <c r="GSS22" s="101"/>
      <c r="GST22" s="101"/>
      <c r="GSU22" s="101"/>
      <c r="GSV22" s="101"/>
      <c r="GSW22" s="101"/>
      <c r="GSX22" s="101"/>
      <c r="GSY22" s="101"/>
      <c r="GSZ22" s="101"/>
      <c r="GTA22" s="101"/>
      <c r="GTB22" s="101"/>
      <c r="GTC22" s="101"/>
      <c r="GTD22" s="101"/>
      <c r="GTE22" s="101"/>
      <c r="GTF22" s="101"/>
      <c r="GTG22" s="101"/>
      <c r="GTH22" s="101"/>
      <c r="GTI22" s="101"/>
      <c r="GTJ22" s="101"/>
      <c r="GTK22" s="101"/>
      <c r="GTL22" s="101"/>
      <c r="GTM22" s="101"/>
      <c r="GTN22" s="101"/>
      <c r="GTO22" s="101"/>
      <c r="GTP22" s="101"/>
      <c r="GTQ22" s="101"/>
      <c r="GTR22" s="101"/>
      <c r="GTS22" s="101"/>
      <c r="GTT22" s="101"/>
      <c r="GTU22" s="101"/>
      <c r="GTV22" s="101"/>
      <c r="GTW22" s="101"/>
      <c r="GTX22" s="101"/>
      <c r="GTY22" s="101"/>
      <c r="GTZ22" s="101"/>
      <c r="GUA22" s="101"/>
      <c r="GUB22" s="101"/>
      <c r="GUC22" s="101"/>
      <c r="GUD22" s="101"/>
      <c r="GUE22" s="101"/>
      <c r="GUF22" s="101"/>
      <c r="GUG22" s="101"/>
      <c r="GUH22" s="101"/>
      <c r="GUI22" s="101"/>
      <c r="GUJ22" s="101"/>
      <c r="GUK22" s="101"/>
      <c r="GUL22" s="101"/>
      <c r="GUM22" s="101"/>
      <c r="GUN22" s="101"/>
      <c r="GUO22" s="101"/>
      <c r="GUP22" s="101"/>
      <c r="GUQ22" s="101"/>
      <c r="GUR22" s="101"/>
      <c r="GUS22" s="101"/>
      <c r="GUT22" s="101"/>
      <c r="GUU22" s="101"/>
      <c r="GUV22" s="101"/>
      <c r="GUW22" s="101"/>
      <c r="GUX22" s="101"/>
      <c r="GUY22" s="101"/>
      <c r="GUZ22" s="101"/>
      <c r="GVA22" s="101"/>
      <c r="GVB22" s="101"/>
      <c r="GVC22" s="101"/>
      <c r="GVD22" s="101"/>
      <c r="GVE22" s="101"/>
      <c r="GVF22" s="101"/>
      <c r="GVG22" s="101"/>
      <c r="GVH22" s="101"/>
      <c r="GVI22" s="101"/>
      <c r="GVJ22" s="101"/>
      <c r="GVK22" s="101"/>
      <c r="GVL22" s="101"/>
      <c r="GVM22" s="101"/>
      <c r="GVN22" s="101"/>
      <c r="GVO22" s="101"/>
      <c r="GVP22" s="101"/>
      <c r="GVQ22" s="101"/>
      <c r="GVR22" s="101"/>
      <c r="GVS22" s="101"/>
      <c r="GVT22" s="101"/>
      <c r="GVU22" s="101"/>
      <c r="GVV22" s="101"/>
      <c r="GVW22" s="101"/>
      <c r="GVX22" s="101"/>
      <c r="GVY22" s="101"/>
      <c r="GVZ22" s="101"/>
      <c r="GWA22" s="101"/>
      <c r="GWB22" s="101"/>
      <c r="GWC22" s="101"/>
      <c r="GWD22" s="101"/>
      <c r="GWE22" s="101"/>
      <c r="GWF22" s="101"/>
      <c r="GWG22" s="101"/>
      <c r="GWH22" s="101"/>
      <c r="GWI22" s="101"/>
      <c r="GWJ22" s="101"/>
      <c r="GWK22" s="101"/>
      <c r="GWL22" s="101"/>
      <c r="GWM22" s="101"/>
      <c r="GWN22" s="101"/>
      <c r="GWO22" s="101"/>
      <c r="GWP22" s="101"/>
      <c r="GWQ22" s="101"/>
      <c r="GWR22" s="101"/>
      <c r="GWS22" s="101"/>
      <c r="GWT22" s="101"/>
      <c r="GWU22" s="101"/>
      <c r="GWV22" s="101"/>
      <c r="GWW22" s="101"/>
      <c r="GWX22" s="101"/>
      <c r="GWY22" s="101"/>
      <c r="GWZ22" s="101"/>
      <c r="GXA22" s="101"/>
      <c r="GXB22" s="101"/>
      <c r="GXC22" s="101"/>
      <c r="GXD22" s="101"/>
      <c r="GXE22" s="101"/>
      <c r="GXF22" s="101"/>
      <c r="GXG22" s="101"/>
      <c r="GXH22" s="101"/>
      <c r="GXI22" s="101"/>
      <c r="GXJ22" s="101"/>
      <c r="GXK22" s="101"/>
      <c r="GXL22" s="101"/>
      <c r="GXM22" s="101"/>
      <c r="GXN22" s="101"/>
      <c r="GXO22" s="101"/>
      <c r="GXP22" s="101"/>
      <c r="GXQ22" s="101"/>
      <c r="GXR22" s="101"/>
      <c r="GXS22" s="101"/>
      <c r="GXT22" s="101"/>
      <c r="GXU22" s="101"/>
      <c r="GXV22" s="101"/>
      <c r="GXW22" s="101"/>
      <c r="GXX22" s="101"/>
      <c r="GXY22" s="101"/>
      <c r="GXZ22" s="101"/>
      <c r="GYA22" s="101"/>
      <c r="GYB22" s="101"/>
      <c r="GYC22" s="101"/>
      <c r="GYD22" s="101"/>
      <c r="GYE22" s="101"/>
      <c r="GYF22" s="101"/>
      <c r="GYG22" s="101"/>
      <c r="GYH22" s="101"/>
      <c r="GYI22" s="101"/>
      <c r="GYJ22" s="101"/>
      <c r="GYK22" s="101"/>
      <c r="GYL22" s="101"/>
      <c r="GYM22" s="101"/>
      <c r="GYN22" s="101"/>
      <c r="GYO22" s="101"/>
      <c r="GYP22" s="101"/>
      <c r="GYQ22" s="101"/>
      <c r="GYR22" s="101"/>
      <c r="GYS22" s="101"/>
      <c r="GYT22" s="101"/>
      <c r="GYU22" s="101"/>
      <c r="GYV22" s="101"/>
      <c r="GYW22" s="101"/>
      <c r="GYX22" s="101"/>
      <c r="GYY22" s="101"/>
      <c r="GYZ22" s="101"/>
      <c r="GZA22" s="101"/>
      <c r="GZB22" s="101"/>
      <c r="GZC22" s="101"/>
      <c r="GZD22" s="101"/>
      <c r="GZE22" s="101"/>
      <c r="GZF22" s="101"/>
      <c r="GZG22" s="101"/>
      <c r="GZH22" s="101"/>
      <c r="GZI22" s="101"/>
      <c r="GZJ22" s="101"/>
      <c r="GZK22" s="101"/>
      <c r="GZL22" s="101"/>
      <c r="GZM22" s="101"/>
      <c r="GZN22" s="101"/>
      <c r="GZO22" s="101"/>
      <c r="GZP22" s="101"/>
      <c r="GZQ22" s="101"/>
      <c r="GZR22" s="101"/>
      <c r="GZS22" s="101"/>
      <c r="GZT22" s="101"/>
      <c r="GZU22" s="101"/>
      <c r="GZV22" s="101"/>
      <c r="GZW22" s="101"/>
      <c r="GZX22" s="101"/>
      <c r="GZY22" s="101"/>
      <c r="GZZ22" s="101"/>
      <c r="HAA22" s="101"/>
      <c r="HAB22" s="101"/>
      <c r="HAC22" s="101"/>
      <c r="HAD22" s="101"/>
      <c r="HAE22" s="101"/>
      <c r="HAF22" s="101"/>
      <c r="HAG22" s="101"/>
      <c r="HAH22" s="101"/>
      <c r="HAI22" s="101"/>
      <c r="HAJ22" s="101"/>
      <c r="HAK22" s="101"/>
      <c r="HAL22" s="101"/>
      <c r="HAM22" s="101"/>
      <c r="HAN22" s="101"/>
      <c r="HAO22" s="101"/>
      <c r="HAP22" s="101"/>
      <c r="HAQ22" s="101"/>
      <c r="HAR22" s="101"/>
      <c r="HAS22" s="101"/>
      <c r="HAT22" s="101"/>
      <c r="HAU22" s="101"/>
      <c r="HAV22" s="101"/>
      <c r="HAW22" s="101"/>
      <c r="HAX22" s="101"/>
      <c r="HAY22" s="101"/>
      <c r="HAZ22" s="101"/>
      <c r="HBA22" s="101"/>
      <c r="HBB22" s="101"/>
      <c r="HBC22" s="101"/>
      <c r="HBD22" s="101"/>
      <c r="HBE22" s="101"/>
      <c r="HBF22" s="101"/>
      <c r="HBG22" s="101"/>
      <c r="HBH22" s="101"/>
      <c r="HBI22" s="101"/>
      <c r="HBJ22" s="101"/>
      <c r="HBK22" s="101"/>
      <c r="HBL22" s="101"/>
      <c r="HBM22" s="101"/>
      <c r="HBN22" s="101"/>
      <c r="HBO22" s="101"/>
      <c r="HBP22" s="101"/>
      <c r="HBQ22" s="101"/>
      <c r="HBR22" s="101"/>
      <c r="HBS22" s="101"/>
      <c r="HBT22" s="101"/>
      <c r="HBU22" s="101"/>
      <c r="HBV22" s="101"/>
      <c r="HBW22" s="101"/>
      <c r="HBX22" s="101"/>
      <c r="HBY22" s="101"/>
      <c r="HBZ22" s="101"/>
      <c r="HCA22" s="101"/>
      <c r="HCB22" s="101"/>
      <c r="HCC22" s="101"/>
      <c r="HCD22" s="101"/>
      <c r="HCE22" s="101"/>
      <c r="HCF22" s="101"/>
      <c r="HCG22" s="101"/>
      <c r="HCH22" s="101"/>
      <c r="HCI22" s="101"/>
      <c r="HCJ22" s="101"/>
      <c r="HCK22" s="101"/>
      <c r="HCL22" s="101"/>
      <c r="HCM22" s="101"/>
      <c r="HCN22" s="101"/>
      <c r="HCO22" s="101"/>
      <c r="HCP22" s="101"/>
      <c r="HCQ22" s="101"/>
      <c r="HCR22" s="101"/>
      <c r="HCS22" s="101"/>
      <c r="HCT22" s="101"/>
      <c r="HCU22" s="101"/>
      <c r="HCV22" s="101"/>
      <c r="HCW22" s="101"/>
      <c r="HCX22" s="101"/>
      <c r="HCY22" s="101"/>
      <c r="HCZ22" s="101"/>
      <c r="HDA22" s="101"/>
      <c r="HDB22" s="101"/>
      <c r="HDC22" s="101"/>
      <c r="HDD22" s="101"/>
      <c r="HDE22" s="101"/>
      <c r="HDF22" s="101"/>
      <c r="HDG22" s="101"/>
      <c r="HDH22" s="101"/>
      <c r="HDI22" s="101"/>
      <c r="HDJ22" s="101"/>
      <c r="HDK22" s="101"/>
      <c r="HDL22" s="101"/>
      <c r="HDM22" s="101"/>
      <c r="HDN22" s="101"/>
      <c r="HDO22" s="101"/>
      <c r="HDP22" s="101"/>
      <c r="HDQ22" s="101"/>
      <c r="HDR22" s="101"/>
      <c r="HDS22" s="101"/>
      <c r="HDT22" s="101"/>
      <c r="HDU22" s="101"/>
      <c r="HDV22" s="101"/>
      <c r="HDW22" s="101"/>
      <c r="HDX22" s="101"/>
      <c r="HDY22" s="101"/>
      <c r="HDZ22" s="101"/>
      <c r="HEA22" s="101"/>
      <c r="HEB22" s="101"/>
      <c r="HEC22" s="101"/>
      <c r="HED22" s="101"/>
      <c r="HEE22" s="101"/>
      <c r="HEF22" s="101"/>
      <c r="HEG22" s="101"/>
      <c r="HEH22" s="101"/>
      <c r="HEI22" s="101"/>
      <c r="HEJ22" s="101"/>
      <c r="HEK22" s="101"/>
      <c r="HEL22" s="101"/>
      <c r="HEM22" s="101"/>
      <c r="HEN22" s="101"/>
      <c r="HEO22" s="101"/>
      <c r="HEP22" s="101"/>
      <c r="HEQ22" s="101"/>
      <c r="HER22" s="101"/>
      <c r="HES22" s="101"/>
      <c r="HET22" s="101"/>
      <c r="HEU22" s="101"/>
      <c r="HEV22" s="101"/>
      <c r="HEW22" s="101"/>
      <c r="HEX22" s="101"/>
      <c r="HEY22" s="101"/>
      <c r="HEZ22" s="101"/>
      <c r="HFA22" s="101"/>
      <c r="HFB22" s="101"/>
      <c r="HFC22" s="101"/>
      <c r="HFD22" s="101"/>
      <c r="HFE22" s="101"/>
      <c r="HFF22" s="101"/>
      <c r="HFG22" s="101"/>
      <c r="HFH22" s="101"/>
      <c r="HFI22" s="101"/>
      <c r="HFJ22" s="101"/>
      <c r="HFK22" s="101"/>
      <c r="HFL22" s="101"/>
      <c r="HFM22" s="101"/>
      <c r="HFN22" s="101"/>
      <c r="HFO22" s="101"/>
      <c r="HFP22" s="101"/>
      <c r="HFQ22" s="101"/>
      <c r="HFR22" s="101"/>
      <c r="HFS22" s="101"/>
      <c r="HFT22" s="101"/>
      <c r="HFU22" s="101"/>
      <c r="HFV22" s="101"/>
      <c r="HFW22" s="101"/>
      <c r="HFX22" s="101"/>
      <c r="HFY22" s="101"/>
      <c r="HFZ22" s="101"/>
      <c r="HGA22" s="101"/>
      <c r="HGB22" s="101"/>
      <c r="HGC22" s="101"/>
      <c r="HGD22" s="101"/>
      <c r="HGE22" s="101"/>
      <c r="HGF22" s="101"/>
      <c r="HGG22" s="101"/>
      <c r="HGH22" s="101"/>
      <c r="HGI22" s="101"/>
      <c r="HGJ22" s="101"/>
      <c r="HGK22" s="101"/>
      <c r="HGL22" s="101"/>
      <c r="HGM22" s="101"/>
      <c r="HGN22" s="101"/>
      <c r="HGO22" s="101"/>
      <c r="HGP22" s="101"/>
      <c r="HGQ22" s="101"/>
      <c r="HGR22" s="101"/>
      <c r="HGS22" s="101"/>
      <c r="HGT22" s="101"/>
      <c r="HGU22" s="101"/>
      <c r="HGV22" s="101"/>
      <c r="HGW22" s="101"/>
      <c r="HGX22" s="101"/>
      <c r="HGY22" s="101"/>
      <c r="HGZ22" s="101"/>
      <c r="HHA22" s="101"/>
      <c r="HHB22" s="101"/>
      <c r="HHC22" s="101"/>
      <c r="HHD22" s="101"/>
      <c r="HHE22" s="101"/>
      <c r="HHF22" s="101"/>
      <c r="HHG22" s="101"/>
      <c r="HHH22" s="101"/>
      <c r="HHI22" s="101"/>
      <c r="HHJ22" s="101"/>
      <c r="HHK22" s="101"/>
      <c r="HHL22" s="101"/>
      <c r="HHM22" s="101"/>
      <c r="HHN22" s="101"/>
      <c r="HHO22" s="101"/>
      <c r="HHP22" s="101"/>
      <c r="HHQ22" s="101"/>
      <c r="HHR22" s="101"/>
      <c r="HHS22" s="101"/>
      <c r="HHT22" s="101"/>
      <c r="HHU22" s="101"/>
      <c r="HHV22" s="101"/>
      <c r="HHW22" s="101"/>
      <c r="HHX22" s="101"/>
      <c r="HHY22" s="101"/>
      <c r="HHZ22" s="101"/>
      <c r="HIA22" s="101"/>
      <c r="HIB22" s="101"/>
      <c r="HIC22" s="101"/>
      <c r="HID22" s="101"/>
      <c r="HIE22" s="101"/>
      <c r="HIF22" s="101"/>
      <c r="HIG22" s="101"/>
      <c r="HIH22" s="101"/>
      <c r="HII22" s="101"/>
      <c r="HIJ22" s="101"/>
      <c r="HIK22" s="101"/>
      <c r="HIL22" s="101"/>
      <c r="HIM22" s="101"/>
      <c r="HIN22" s="101"/>
      <c r="HIO22" s="101"/>
      <c r="HIP22" s="101"/>
      <c r="HIQ22" s="101"/>
      <c r="HIR22" s="101"/>
      <c r="HIS22" s="101"/>
      <c r="HIT22" s="101"/>
      <c r="HIU22" s="101"/>
      <c r="HIV22" s="101"/>
      <c r="HIW22" s="101"/>
      <c r="HIX22" s="101"/>
      <c r="HIY22" s="101"/>
      <c r="HIZ22" s="101"/>
      <c r="HJA22" s="101"/>
      <c r="HJB22" s="101"/>
      <c r="HJC22" s="101"/>
      <c r="HJD22" s="101"/>
      <c r="HJE22" s="101"/>
      <c r="HJF22" s="101"/>
      <c r="HJG22" s="101"/>
      <c r="HJH22" s="101"/>
      <c r="HJI22" s="101"/>
      <c r="HJJ22" s="101"/>
      <c r="HJK22" s="101"/>
      <c r="HJL22" s="101"/>
      <c r="HJM22" s="101"/>
      <c r="HJN22" s="101"/>
      <c r="HJO22" s="101"/>
      <c r="HJP22" s="101"/>
      <c r="HJQ22" s="101"/>
      <c r="HJR22" s="101"/>
      <c r="HJS22" s="101"/>
      <c r="HJT22" s="101"/>
      <c r="HJU22" s="101"/>
      <c r="HJV22" s="101"/>
      <c r="HJW22" s="101"/>
      <c r="HJX22" s="101"/>
      <c r="HJY22" s="101"/>
      <c r="HJZ22" s="101"/>
      <c r="HKA22" s="101"/>
      <c r="HKB22" s="101"/>
      <c r="HKC22" s="101"/>
      <c r="HKD22" s="101"/>
      <c r="HKE22" s="101"/>
      <c r="HKF22" s="101"/>
      <c r="HKG22" s="101"/>
      <c r="HKH22" s="101"/>
      <c r="HKI22" s="101"/>
      <c r="HKJ22" s="101"/>
      <c r="HKK22" s="101"/>
      <c r="HKL22" s="101"/>
      <c r="HKM22" s="101"/>
      <c r="HKN22" s="101"/>
      <c r="HKO22" s="101"/>
      <c r="HKP22" s="101"/>
      <c r="HKQ22" s="101"/>
      <c r="HKR22" s="101"/>
      <c r="HKS22" s="101"/>
      <c r="HKT22" s="101"/>
      <c r="HKU22" s="101"/>
      <c r="HKV22" s="101"/>
      <c r="HKW22" s="101"/>
      <c r="HKX22" s="101"/>
      <c r="HKY22" s="101"/>
      <c r="HKZ22" s="101"/>
      <c r="HLA22" s="101"/>
      <c r="HLB22" s="101"/>
      <c r="HLC22" s="101"/>
      <c r="HLD22" s="101"/>
      <c r="HLE22" s="101"/>
      <c r="HLF22" s="101"/>
      <c r="HLG22" s="101"/>
      <c r="HLH22" s="101"/>
      <c r="HLI22" s="101"/>
      <c r="HLJ22" s="101"/>
      <c r="HLK22" s="101"/>
      <c r="HLL22" s="101"/>
      <c r="HLM22" s="101"/>
      <c r="HLN22" s="101"/>
      <c r="HLO22" s="101"/>
      <c r="HLP22" s="101"/>
      <c r="HLQ22" s="101"/>
      <c r="HLR22" s="101"/>
      <c r="HLS22" s="101"/>
      <c r="HLT22" s="101"/>
      <c r="HLU22" s="101"/>
      <c r="HLV22" s="101"/>
      <c r="HLW22" s="101"/>
      <c r="HLX22" s="101"/>
      <c r="HLY22" s="101"/>
      <c r="HLZ22" s="101"/>
      <c r="HMA22" s="101"/>
      <c r="HMB22" s="101"/>
      <c r="HMC22" s="101"/>
      <c r="HMD22" s="101"/>
      <c r="HME22" s="101"/>
      <c r="HMF22" s="101"/>
      <c r="HMG22" s="101"/>
      <c r="HMH22" s="101"/>
      <c r="HMI22" s="101"/>
      <c r="HMJ22" s="101"/>
      <c r="HMK22" s="101"/>
      <c r="HML22" s="101"/>
      <c r="HMM22" s="101"/>
      <c r="HMN22" s="101"/>
      <c r="HMO22" s="101"/>
      <c r="HMP22" s="101"/>
      <c r="HMQ22" s="101"/>
      <c r="HMR22" s="101"/>
      <c r="HMS22" s="101"/>
      <c r="HMT22" s="101"/>
      <c r="HMU22" s="101"/>
      <c r="HMV22" s="101"/>
      <c r="HMW22" s="101"/>
      <c r="HMX22" s="101"/>
      <c r="HMY22" s="101"/>
      <c r="HMZ22" s="101"/>
      <c r="HNA22" s="101"/>
      <c r="HNB22" s="101"/>
      <c r="HNC22" s="101"/>
      <c r="HND22" s="101"/>
      <c r="HNE22" s="101"/>
      <c r="HNF22" s="101"/>
      <c r="HNG22" s="101"/>
      <c r="HNH22" s="101"/>
      <c r="HNI22" s="101"/>
      <c r="HNJ22" s="101"/>
      <c r="HNK22" s="101"/>
      <c r="HNL22" s="101"/>
      <c r="HNM22" s="101"/>
      <c r="HNN22" s="101"/>
      <c r="HNO22" s="101"/>
      <c r="HNP22" s="101"/>
      <c r="HNQ22" s="101"/>
      <c r="HNR22" s="101"/>
      <c r="HNS22" s="101"/>
      <c r="HNT22" s="101"/>
      <c r="HNU22" s="101"/>
      <c r="HNV22" s="101"/>
      <c r="HNW22" s="101"/>
      <c r="HNX22" s="101"/>
      <c r="HNY22" s="101"/>
      <c r="HNZ22" s="101"/>
      <c r="HOA22" s="101"/>
      <c r="HOB22" s="101"/>
      <c r="HOC22" s="101"/>
      <c r="HOD22" s="101"/>
      <c r="HOE22" s="101"/>
      <c r="HOF22" s="101"/>
      <c r="HOG22" s="101"/>
      <c r="HOH22" s="101"/>
      <c r="HOI22" s="101"/>
      <c r="HOJ22" s="101"/>
      <c r="HOK22" s="101"/>
      <c r="HOL22" s="101"/>
      <c r="HOM22" s="101"/>
      <c r="HON22" s="101"/>
      <c r="HOO22" s="101"/>
      <c r="HOP22" s="101"/>
      <c r="HOQ22" s="101"/>
      <c r="HOR22" s="101"/>
      <c r="HOS22" s="101"/>
      <c r="HOT22" s="101"/>
      <c r="HOU22" s="101"/>
      <c r="HOV22" s="101"/>
      <c r="HOW22" s="101"/>
      <c r="HOX22" s="101"/>
      <c r="HOY22" s="101"/>
      <c r="HOZ22" s="101"/>
      <c r="HPA22" s="101"/>
      <c r="HPB22" s="101"/>
      <c r="HPC22" s="101"/>
      <c r="HPD22" s="101"/>
      <c r="HPE22" s="101"/>
      <c r="HPF22" s="101"/>
      <c r="HPG22" s="101"/>
      <c r="HPH22" s="101"/>
      <c r="HPI22" s="101"/>
      <c r="HPJ22" s="101"/>
      <c r="HPK22" s="101"/>
      <c r="HPL22" s="101"/>
      <c r="HPM22" s="101"/>
      <c r="HPN22" s="101"/>
      <c r="HPO22" s="101"/>
      <c r="HPP22" s="101"/>
      <c r="HPQ22" s="101"/>
      <c r="HPR22" s="101"/>
      <c r="HPS22" s="101"/>
      <c r="HPT22" s="101"/>
      <c r="HPU22" s="101"/>
      <c r="HPV22" s="101"/>
      <c r="HPW22" s="101"/>
      <c r="HPX22" s="101"/>
      <c r="HPY22" s="101"/>
      <c r="HPZ22" s="101"/>
      <c r="HQA22" s="101"/>
      <c r="HQB22" s="101"/>
      <c r="HQC22" s="101"/>
      <c r="HQD22" s="101"/>
      <c r="HQE22" s="101"/>
      <c r="HQF22" s="101"/>
      <c r="HQG22" s="101"/>
      <c r="HQH22" s="101"/>
      <c r="HQI22" s="101"/>
      <c r="HQJ22" s="101"/>
      <c r="HQK22" s="101"/>
      <c r="HQL22" s="101"/>
      <c r="HQM22" s="101"/>
      <c r="HQN22" s="101"/>
      <c r="HQO22" s="101"/>
      <c r="HQP22" s="101"/>
      <c r="HQQ22" s="101"/>
      <c r="HQR22" s="101"/>
      <c r="HQS22" s="101"/>
      <c r="HQT22" s="101"/>
      <c r="HQU22" s="101"/>
      <c r="HQV22" s="101"/>
      <c r="HQW22" s="101"/>
      <c r="HQX22" s="101"/>
      <c r="HQY22" s="101"/>
      <c r="HQZ22" s="101"/>
      <c r="HRA22" s="101"/>
      <c r="HRB22" s="101"/>
      <c r="HRC22" s="101"/>
      <c r="HRD22" s="101"/>
      <c r="HRE22" s="101"/>
      <c r="HRF22" s="101"/>
      <c r="HRG22" s="101"/>
      <c r="HRH22" s="101"/>
      <c r="HRI22" s="101"/>
      <c r="HRJ22" s="101"/>
      <c r="HRK22" s="101"/>
      <c r="HRL22" s="101"/>
      <c r="HRM22" s="101"/>
      <c r="HRN22" s="101"/>
      <c r="HRO22" s="101"/>
      <c r="HRP22" s="101"/>
      <c r="HRQ22" s="101"/>
      <c r="HRR22" s="101"/>
      <c r="HRS22" s="101"/>
      <c r="HRT22" s="101"/>
      <c r="HRU22" s="101"/>
      <c r="HRV22" s="101"/>
      <c r="HRW22" s="101"/>
      <c r="HRX22" s="101"/>
      <c r="HRY22" s="101"/>
      <c r="HRZ22" s="101"/>
      <c r="HSA22" s="101"/>
      <c r="HSB22" s="101"/>
      <c r="HSC22" s="101"/>
      <c r="HSD22" s="101"/>
      <c r="HSE22" s="101"/>
      <c r="HSF22" s="101"/>
      <c r="HSG22" s="101"/>
      <c r="HSH22" s="101"/>
      <c r="HSI22" s="101"/>
      <c r="HSJ22" s="101"/>
      <c r="HSK22" s="101"/>
      <c r="HSL22" s="101"/>
      <c r="HSM22" s="101"/>
      <c r="HSN22" s="101"/>
      <c r="HSO22" s="101"/>
      <c r="HSP22" s="101"/>
      <c r="HSQ22" s="101"/>
      <c r="HSR22" s="101"/>
      <c r="HSS22" s="101"/>
      <c r="HST22" s="101"/>
      <c r="HSU22" s="101"/>
      <c r="HSV22" s="101"/>
      <c r="HSW22" s="101"/>
      <c r="HSX22" s="101"/>
      <c r="HSY22" s="101"/>
      <c r="HSZ22" s="101"/>
      <c r="HTA22" s="101"/>
      <c r="HTB22" s="101"/>
      <c r="HTC22" s="101"/>
      <c r="HTD22" s="101"/>
      <c r="HTE22" s="101"/>
      <c r="HTF22" s="101"/>
      <c r="HTG22" s="101"/>
      <c r="HTH22" s="101"/>
      <c r="HTI22" s="101"/>
      <c r="HTJ22" s="101"/>
      <c r="HTK22" s="101"/>
      <c r="HTL22" s="101"/>
      <c r="HTM22" s="101"/>
      <c r="HTN22" s="101"/>
      <c r="HTO22" s="101"/>
      <c r="HTP22" s="101"/>
      <c r="HTQ22" s="101"/>
      <c r="HTR22" s="101"/>
      <c r="HTS22" s="101"/>
      <c r="HTT22" s="101"/>
      <c r="HTU22" s="101"/>
      <c r="HTV22" s="101"/>
      <c r="HTW22" s="101"/>
      <c r="HTX22" s="101"/>
      <c r="HTY22" s="101"/>
      <c r="HTZ22" s="101"/>
      <c r="HUA22" s="101"/>
      <c r="HUB22" s="101"/>
      <c r="HUC22" s="101"/>
      <c r="HUD22" s="101"/>
      <c r="HUE22" s="101"/>
      <c r="HUF22" s="101"/>
      <c r="HUG22" s="101"/>
      <c r="HUH22" s="101"/>
      <c r="HUI22" s="101"/>
      <c r="HUJ22" s="101"/>
      <c r="HUK22" s="101"/>
      <c r="HUL22" s="101"/>
      <c r="HUM22" s="101"/>
      <c r="HUN22" s="101"/>
      <c r="HUO22" s="101"/>
      <c r="HUP22" s="101"/>
      <c r="HUQ22" s="101"/>
      <c r="HUR22" s="101"/>
      <c r="HUS22" s="101"/>
      <c r="HUT22" s="101"/>
      <c r="HUU22" s="101"/>
      <c r="HUV22" s="101"/>
      <c r="HUW22" s="101"/>
      <c r="HUX22" s="101"/>
      <c r="HUY22" s="101"/>
      <c r="HUZ22" s="101"/>
      <c r="HVA22" s="101"/>
      <c r="HVB22" s="101"/>
      <c r="HVC22" s="101"/>
      <c r="HVD22" s="101"/>
      <c r="HVE22" s="101"/>
      <c r="HVF22" s="101"/>
      <c r="HVG22" s="101"/>
      <c r="HVH22" s="101"/>
      <c r="HVI22" s="101"/>
      <c r="HVJ22" s="101"/>
      <c r="HVK22" s="101"/>
      <c r="HVL22" s="101"/>
      <c r="HVM22" s="101"/>
      <c r="HVN22" s="101"/>
      <c r="HVO22" s="101"/>
      <c r="HVP22" s="101"/>
      <c r="HVQ22" s="101"/>
      <c r="HVR22" s="101"/>
      <c r="HVS22" s="101"/>
      <c r="HVT22" s="101"/>
      <c r="HVU22" s="101"/>
      <c r="HVV22" s="101"/>
      <c r="HVW22" s="101"/>
      <c r="HVX22" s="101"/>
      <c r="HVY22" s="101"/>
      <c r="HVZ22" s="101"/>
      <c r="HWA22" s="101"/>
      <c r="HWB22" s="101"/>
      <c r="HWC22" s="101"/>
      <c r="HWD22" s="101"/>
      <c r="HWE22" s="101"/>
      <c r="HWF22" s="101"/>
      <c r="HWG22" s="101"/>
      <c r="HWH22" s="101"/>
      <c r="HWI22" s="101"/>
      <c r="HWJ22" s="101"/>
      <c r="HWK22" s="101"/>
      <c r="HWL22" s="101"/>
      <c r="HWM22" s="101"/>
      <c r="HWN22" s="101"/>
      <c r="HWO22" s="101"/>
      <c r="HWP22" s="101"/>
      <c r="HWQ22" s="101"/>
      <c r="HWR22" s="101"/>
      <c r="HWS22" s="101"/>
      <c r="HWT22" s="101"/>
      <c r="HWU22" s="101"/>
      <c r="HWV22" s="101"/>
      <c r="HWW22" s="101"/>
      <c r="HWX22" s="101"/>
      <c r="HWY22" s="101"/>
      <c r="HWZ22" s="101"/>
      <c r="HXA22" s="101"/>
      <c r="HXB22" s="101"/>
      <c r="HXC22" s="101"/>
      <c r="HXD22" s="101"/>
      <c r="HXE22" s="101"/>
      <c r="HXF22" s="101"/>
      <c r="HXG22" s="101"/>
      <c r="HXH22" s="101"/>
      <c r="HXI22" s="101"/>
      <c r="HXJ22" s="101"/>
      <c r="HXK22" s="101"/>
      <c r="HXL22" s="101"/>
      <c r="HXM22" s="101"/>
      <c r="HXN22" s="101"/>
      <c r="HXO22" s="101"/>
      <c r="HXP22" s="101"/>
      <c r="HXQ22" s="101"/>
      <c r="HXR22" s="101"/>
      <c r="HXS22" s="101"/>
      <c r="HXT22" s="101"/>
      <c r="HXU22" s="101"/>
      <c r="HXV22" s="101"/>
      <c r="HXW22" s="101"/>
      <c r="HXX22" s="101"/>
      <c r="HXY22" s="101"/>
      <c r="HXZ22" s="101"/>
      <c r="HYA22" s="101"/>
      <c r="HYB22" s="101"/>
      <c r="HYC22" s="101"/>
      <c r="HYD22" s="101"/>
      <c r="HYE22" s="101"/>
      <c r="HYF22" s="101"/>
      <c r="HYG22" s="101"/>
      <c r="HYH22" s="101"/>
      <c r="HYI22" s="101"/>
      <c r="HYJ22" s="101"/>
      <c r="HYK22" s="101"/>
      <c r="HYL22" s="101"/>
      <c r="HYM22" s="101"/>
      <c r="HYN22" s="101"/>
      <c r="HYO22" s="101"/>
      <c r="HYP22" s="101"/>
      <c r="HYQ22" s="101"/>
      <c r="HYR22" s="101"/>
      <c r="HYS22" s="101"/>
      <c r="HYT22" s="101"/>
      <c r="HYU22" s="101"/>
      <c r="HYV22" s="101"/>
      <c r="HYW22" s="101"/>
      <c r="HYX22" s="101"/>
      <c r="HYY22" s="101"/>
      <c r="HYZ22" s="101"/>
      <c r="HZA22" s="101"/>
      <c r="HZB22" s="101"/>
      <c r="HZC22" s="101"/>
      <c r="HZD22" s="101"/>
      <c r="HZE22" s="101"/>
      <c r="HZF22" s="101"/>
      <c r="HZG22" s="101"/>
      <c r="HZH22" s="101"/>
      <c r="HZI22" s="101"/>
      <c r="HZJ22" s="101"/>
      <c r="HZK22" s="101"/>
      <c r="HZL22" s="101"/>
      <c r="HZM22" s="101"/>
      <c r="HZN22" s="101"/>
      <c r="HZO22" s="101"/>
      <c r="HZP22" s="101"/>
      <c r="HZQ22" s="101"/>
      <c r="HZR22" s="101"/>
      <c r="HZS22" s="101"/>
      <c r="HZT22" s="101"/>
      <c r="HZU22" s="101"/>
      <c r="HZV22" s="101"/>
      <c r="HZW22" s="101"/>
      <c r="HZX22" s="101"/>
      <c r="HZY22" s="101"/>
      <c r="HZZ22" s="101"/>
      <c r="IAA22" s="101"/>
      <c r="IAB22" s="101"/>
      <c r="IAC22" s="101"/>
      <c r="IAD22" s="101"/>
      <c r="IAE22" s="101"/>
      <c r="IAF22" s="101"/>
      <c r="IAG22" s="101"/>
      <c r="IAH22" s="101"/>
      <c r="IAI22" s="101"/>
      <c r="IAJ22" s="101"/>
      <c r="IAK22" s="101"/>
      <c r="IAL22" s="101"/>
      <c r="IAM22" s="101"/>
      <c r="IAN22" s="101"/>
      <c r="IAO22" s="101"/>
      <c r="IAP22" s="101"/>
      <c r="IAQ22" s="101"/>
      <c r="IAR22" s="101"/>
      <c r="IAS22" s="101"/>
      <c r="IAT22" s="101"/>
      <c r="IAU22" s="101"/>
      <c r="IAV22" s="101"/>
      <c r="IAW22" s="101"/>
      <c r="IAX22" s="101"/>
      <c r="IAY22" s="101"/>
      <c r="IAZ22" s="101"/>
      <c r="IBA22" s="101"/>
      <c r="IBB22" s="101"/>
      <c r="IBC22" s="101"/>
      <c r="IBD22" s="101"/>
      <c r="IBE22" s="101"/>
      <c r="IBF22" s="101"/>
      <c r="IBG22" s="101"/>
      <c r="IBH22" s="101"/>
      <c r="IBI22" s="101"/>
      <c r="IBJ22" s="101"/>
      <c r="IBK22" s="101"/>
      <c r="IBL22" s="101"/>
      <c r="IBM22" s="101"/>
      <c r="IBN22" s="101"/>
      <c r="IBO22" s="101"/>
      <c r="IBP22" s="101"/>
      <c r="IBQ22" s="101"/>
      <c r="IBR22" s="101"/>
      <c r="IBS22" s="101"/>
      <c r="IBT22" s="101"/>
      <c r="IBU22" s="101"/>
      <c r="IBV22" s="101"/>
      <c r="IBW22" s="101"/>
      <c r="IBX22" s="101"/>
      <c r="IBY22" s="101"/>
      <c r="IBZ22" s="101"/>
      <c r="ICA22" s="101"/>
      <c r="ICB22" s="101"/>
      <c r="ICC22" s="101"/>
      <c r="ICD22" s="101"/>
      <c r="ICE22" s="101"/>
      <c r="ICF22" s="101"/>
      <c r="ICG22" s="101"/>
      <c r="ICH22" s="101"/>
      <c r="ICI22" s="101"/>
      <c r="ICJ22" s="101"/>
      <c r="ICK22" s="101"/>
      <c r="ICL22" s="101"/>
      <c r="ICM22" s="101"/>
      <c r="ICN22" s="101"/>
      <c r="ICO22" s="101"/>
      <c r="ICP22" s="101"/>
      <c r="ICQ22" s="101"/>
      <c r="ICR22" s="101"/>
      <c r="ICS22" s="101"/>
      <c r="ICT22" s="101"/>
      <c r="ICU22" s="101"/>
      <c r="ICV22" s="101"/>
      <c r="ICW22" s="101"/>
      <c r="ICX22" s="101"/>
      <c r="ICY22" s="101"/>
      <c r="ICZ22" s="101"/>
      <c r="IDA22" s="101"/>
      <c r="IDB22" s="101"/>
      <c r="IDC22" s="101"/>
      <c r="IDD22" s="101"/>
      <c r="IDE22" s="101"/>
      <c r="IDF22" s="101"/>
      <c r="IDG22" s="101"/>
      <c r="IDH22" s="101"/>
      <c r="IDI22" s="101"/>
      <c r="IDJ22" s="101"/>
      <c r="IDK22" s="101"/>
      <c r="IDL22" s="101"/>
      <c r="IDM22" s="101"/>
      <c r="IDN22" s="101"/>
      <c r="IDO22" s="101"/>
      <c r="IDP22" s="101"/>
      <c r="IDQ22" s="101"/>
      <c r="IDR22" s="101"/>
      <c r="IDS22" s="101"/>
      <c r="IDT22" s="101"/>
      <c r="IDU22" s="101"/>
      <c r="IDV22" s="101"/>
      <c r="IDW22" s="101"/>
      <c r="IDX22" s="101"/>
      <c r="IDY22" s="101"/>
      <c r="IDZ22" s="101"/>
      <c r="IEA22" s="101"/>
      <c r="IEB22" s="101"/>
      <c r="IEC22" s="101"/>
      <c r="IED22" s="101"/>
      <c r="IEE22" s="101"/>
      <c r="IEF22" s="101"/>
      <c r="IEG22" s="101"/>
      <c r="IEH22" s="101"/>
      <c r="IEI22" s="101"/>
      <c r="IEJ22" s="101"/>
      <c r="IEK22" s="101"/>
      <c r="IEL22" s="101"/>
      <c r="IEM22" s="101"/>
      <c r="IEN22" s="101"/>
      <c r="IEO22" s="101"/>
      <c r="IEP22" s="101"/>
      <c r="IEQ22" s="101"/>
      <c r="IER22" s="101"/>
      <c r="IES22" s="101"/>
      <c r="IET22" s="101"/>
      <c r="IEU22" s="101"/>
      <c r="IEV22" s="101"/>
      <c r="IEW22" s="101"/>
      <c r="IEX22" s="101"/>
      <c r="IEY22" s="101"/>
      <c r="IEZ22" s="101"/>
      <c r="IFA22" s="101"/>
      <c r="IFB22" s="101"/>
      <c r="IFC22" s="101"/>
      <c r="IFD22" s="101"/>
      <c r="IFE22" s="101"/>
      <c r="IFF22" s="101"/>
      <c r="IFG22" s="101"/>
      <c r="IFH22" s="101"/>
      <c r="IFI22" s="101"/>
      <c r="IFJ22" s="101"/>
      <c r="IFK22" s="101"/>
      <c r="IFL22" s="101"/>
      <c r="IFM22" s="101"/>
      <c r="IFN22" s="101"/>
      <c r="IFO22" s="101"/>
      <c r="IFP22" s="101"/>
      <c r="IFQ22" s="101"/>
      <c r="IFR22" s="101"/>
      <c r="IFS22" s="101"/>
      <c r="IFT22" s="101"/>
      <c r="IFU22" s="101"/>
      <c r="IFV22" s="101"/>
      <c r="IFW22" s="101"/>
      <c r="IFX22" s="101"/>
      <c r="IFY22" s="101"/>
      <c r="IFZ22" s="101"/>
      <c r="IGA22" s="101"/>
      <c r="IGB22" s="101"/>
      <c r="IGC22" s="101"/>
      <c r="IGD22" s="101"/>
      <c r="IGE22" s="101"/>
      <c r="IGF22" s="101"/>
      <c r="IGG22" s="101"/>
      <c r="IGH22" s="101"/>
      <c r="IGI22" s="101"/>
      <c r="IGJ22" s="101"/>
      <c r="IGK22" s="101"/>
      <c r="IGL22" s="101"/>
      <c r="IGM22" s="101"/>
      <c r="IGN22" s="101"/>
      <c r="IGO22" s="101"/>
      <c r="IGP22" s="101"/>
      <c r="IGQ22" s="101"/>
      <c r="IGR22" s="101"/>
      <c r="IGS22" s="101"/>
      <c r="IGT22" s="101"/>
      <c r="IGU22" s="101"/>
      <c r="IGV22" s="101"/>
      <c r="IGW22" s="101"/>
      <c r="IGX22" s="101"/>
      <c r="IGY22" s="101"/>
      <c r="IGZ22" s="101"/>
      <c r="IHA22" s="101"/>
      <c r="IHB22" s="101"/>
      <c r="IHC22" s="101"/>
      <c r="IHD22" s="101"/>
      <c r="IHE22" s="101"/>
      <c r="IHF22" s="101"/>
      <c r="IHG22" s="101"/>
      <c r="IHH22" s="101"/>
      <c r="IHI22" s="101"/>
      <c r="IHJ22" s="101"/>
      <c r="IHK22" s="101"/>
      <c r="IHL22" s="101"/>
      <c r="IHM22" s="101"/>
      <c r="IHN22" s="101"/>
      <c r="IHO22" s="101"/>
      <c r="IHP22" s="101"/>
      <c r="IHQ22" s="101"/>
      <c r="IHR22" s="101"/>
      <c r="IHS22" s="101"/>
      <c r="IHT22" s="101"/>
      <c r="IHU22" s="101"/>
      <c r="IHV22" s="101"/>
      <c r="IHW22" s="101"/>
      <c r="IHX22" s="101"/>
      <c r="IHY22" s="101"/>
      <c r="IHZ22" s="101"/>
      <c r="IIA22" s="101"/>
      <c r="IIB22" s="101"/>
      <c r="IIC22" s="101"/>
      <c r="IID22" s="101"/>
      <c r="IIE22" s="101"/>
      <c r="IIF22" s="101"/>
      <c r="IIG22" s="101"/>
      <c r="IIH22" s="101"/>
      <c r="III22" s="101"/>
      <c r="IIJ22" s="101"/>
      <c r="IIK22" s="101"/>
      <c r="IIL22" s="101"/>
      <c r="IIM22" s="101"/>
      <c r="IIN22" s="101"/>
      <c r="IIO22" s="101"/>
      <c r="IIP22" s="101"/>
      <c r="IIQ22" s="101"/>
      <c r="IIR22" s="101"/>
      <c r="IIS22" s="101"/>
      <c r="IIT22" s="101"/>
      <c r="IIU22" s="101"/>
      <c r="IIV22" s="101"/>
      <c r="IIW22" s="101"/>
      <c r="IIX22" s="101"/>
      <c r="IIY22" s="101"/>
      <c r="IIZ22" s="101"/>
      <c r="IJA22" s="101"/>
      <c r="IJB22" s="101"/>
      <c r="IJC22" s="101"/>
      <c r="IJD22" s="101"/>
      <c r="IJE22" s="101"/>
      <c r="IJF22" s="101"/>
      <c r="IJG22" s="101"/>
      <c r="IJH22" s="101"/>
      <c r="IJI22" s="101"/>
      <c r="IJJ22" s="101"/>
      <c r="IJK22" s="101"/>
      <c r="IJL22" s="101"/>
      <c r="IJM22" s="101"/>
      <c r="IJN22" s="101"/>
      <c r="IJO22" s="101"/>
      <c r="IJP22" s="101"/>
      <c r="IJQ22" s="101"/>
      <c r="IJR22" s="101"/>
      <c r="IJS22" s="101"/>
      <c r="IJT22" s="101"/>
      <c r="IJU22" s="101"/>
      <c r="IJV22" s="101"/>
      <c r="IJW22" s="101"/>
      <c r="IJX22" s="101"/>
      <c r="IJY22" s="101"/>
      <c r="IJZ22" s="101"/>
      <c r="IKA22" s="101"/>
      <c r="IKB22" s="101"/>
      <c r="IKC22" s="101"/>
      <c r="IKD22" s="101"/>
      <c r="IKE22" s="101"/>
      <c r="IKF22" s="101"/>
      <c r="IKG22" s="101"/>
      <c r="IKH22" s="101"/>
      <c r="IKI22" s="101"/>
      <c r="IKJ22" s="101"/>
      <c r="IKK22" s="101"/>
      <c r="IKL22" s="101"/>
      <c r="IKM22" s="101"/>
      <c r="IKN22" s="101"/>
      <c r="IKO22" s="101"/>
      <c r="IKP22" s="101"/>
      <c r="IKQ22" s="101"/>
      <c r="IKR22" s="101"/>
      <c r="IKS22" s="101"/>
      <c r="IKT22" s="101"/>
      <c r="IKU22" s="101"/>
      <c r="IKV22" s="101"/>
      <c r="IKW22" s="101"/>
      <c r="IKX22" s="101"/>
      <c r="IKY22" s="101"/>
      <c r="IKZ22" s="101"/>
      <c r="ILA22" s="101"/>
      <c r="ILB22" s="101"/>
      <c r="ILC22" s="101"/>
      <c r="ILD22" s="101"/>
      <c r="ILE22" s="101"/>
      <c r="ILF22" s="101"/>
      <c r="ILG22" s="101"/>
      <c r="ILH22" s="101"/>
      <c r="ILI22" s="101"/>
      <c r="ILJ22" s="101"/>
      <c r="ILK22" s="101"/>
      <c r="ILL22" s="101"/>
      <c r="ILM22" s="101"/>
      <c r="ILN22" s="101"/>
      <c r="ILO22" s="101"/>
      <c r="ILP22" s="101"/>
      <c r="ILQ22" s="101"/>
      <c r="ILR22" s="101"/>
      <c r="ILS22" s="101"/>
      <c r="ILT22" s="101"/>
      <c r="ILU22" s="101"/>
      <c r="ILV22" s="101"/>
      <c r="ILW22" s="101"/>
      <c r="ILX22" s="101"/>
      <c r="ILY22" s="101"/>
      <c r="ILZ22" s="101"/>
      <c r="IMA22" s="101"/>
      <c r="IMB22" s="101"/>
      <c r="IMC22" s="101"/>
      <c r="IMD22" s="101"/>
      <c r="IME22" s="101"/>
      <c r="IMF22" s="101"/>
      <c r="IMG22" s="101"/>
      <c r="IMH22" s="101"/>
      <c r="IMI22" s="101"/>
      <c r="IMJ22" s="101"/>
      <c r="IMK22" s="101"/>
      <c r="IML22" s="101"/>
      <c r="IMM22" s="101"/>
      <c r="IMN22" s="101"/>
      <c r="IMO22" s="101"/>
      <c r="IMP22" s="101"/>
      <c r="IMQ22" s="101"/>
      <c r="IMR22" s="101"/>
      <c r="IMS22" s="101"/>
      <c r="IMT22" s="101"/>
      <c r="IMU22" s="101"/>
      <c r="IMV22" s="101"/>
      <c r="IMW22" s="101"/>
      <c r="IMX22" s="101"/>
      <c r="IMY22" s="101"/>
      <c r="IMZ22" s="101"/>
      <c r="INA22" s="101"/>
      <c r="INB22" s="101"/>
      <c r="INC22" s="101"/>
      <c r="IND22" s="101"/>
      <c r="INE22" s="101"/>
      <c r="INF22" s="101"/>
      <c r="ING22" s="101"/>
      <c r="INH22" s="101"/>
      <c r="INI22" s="101"/>
      <c r="INJ22" s="101"/>
      <c r="INK22" s="101"/>
      <c r="INL22" s="101"/>
      <c r="INM22" s="101"/>
      <c r="INN22" s="101"/>
      <c r="INO22" s="101"/>
      <c r="INP22" s="101"/>
      <c r="INQ22" s="101"/>
      <c r="INR22" s="101"/>
      <c r="INS22" s="101"/>
      <c r="INT22" s="101"/>
      <c r="INU22" s="101"/>
      <c r="INV22" s="101"/>
      <c r="INW22" s="101"/>
      <c r="INX22" s="101"/>
      <c r="INY22" s="101"/>
      <c r="INZ22" s="101"/>
      <c r="IOA22" s="101"/>
      <c r="IOB22" s="101"/>
      <c r="IOC22" s="101"/>
      <c r="IOD22" s="101"/>
      <c r="IOE22" s="101"/>
      <c r="IOF22" s="101"/>
      <c r="IOG22" s="101"/>
      <c r="IOH22" s="101"/>
      <c r="IOI22" s="101"/>
      <c r="IOJ22" s="101"/>
      <c r="IOK22" s="101"/>
      <c r="IOL22" s="101"/>
      <c r="IOM22" s="101"/>
      <c r="ION22" s="101"/>
      <c r="IOO22" s="101"/>
      <c r="IOP22" s="101"/>
      <c r="IOQ22" s="101"/>
      <c r="IOR22" s="101"/>
      <c r="IOS22" s="101"/>
      <c r="IOT22" s="101"/>
      <c r="IOU22" s="101"/>
      <c r="IOV22" s="101"/>
      <c r="IOW22" s="101"/>
      <c r="IOX22" s="101"/>
      <c r="IOY22" s="101"/>
      <c r="IOZ22" s="101"/>
      <c r="IPA22" s="101"/>
      <c r="IPB22" s="101"/>
      <c r="IPC22" s="101"/>
      <c r="IPD22" s="101"/>
      <c r="IPE22" s="101"/>
      <c r="IPF22" s="101"/>
      <c r="IPG22" s="101"/>
      <c r="IPH22" s="101"/>
      <c r="IPI22" s="101"/>
      <c r="IPJ22" s="101"/>
      <c r="IPK22" s="101"/>
      <c r="IPL22" s="101"/>
      <c r="IPM22" s="101"/>
      <c r="IPN22" s="101"/>
      <c r="IPO22" s="101"/>
      <c r="IPP22" s="101"/>
      <c r="IPQ22" s="101"/>
      <c r="IPR22" s="101"/>
      <c r="IPS22" s="101"/>
      <c r="IPT22" s="101"/>
      <c r="IPU22" s="101"/>
      <c r="IPV22" s="101"/>
      <c r="IPW22" s="101"/>
      <c r="IPX22" s="101"/>
      <c r="IPY22" s="101"/>
      <c r="IPZ22" s="101"/>
      <c r="IQA22" s="101"/>
      <c r="IQB22" s="101"/>
      <c r="IQC22" s="101"/>
      <c r="IQD22" s="101"/>
      <c r="IQE22" s="101"/>
      <c r="IQF22" s="101"/>
      <c r="IQG22" s="101"/>
      <c r="IQH22" s="101"/>
      <c r="IQI22" s="101"/>
      <c r="IQJ22" s="101"/>
      <c r="IQK22" s="101"/>
      <c r="IQL22" s="101"/>
      <c r="IQM22" s="101"/>
      <c r="IQN22" s="101"/>
      <c r="IQO22" s="101"/>
      <c r="IQP22" s="101"/>
      <c r="IQQ22" s="101"/>
      <c r="IQR22" s="101"/>
      <c r="IQS22" s="101"/>
      <c r="IQT22" s="101"/>
      <c r="IQU22" s="101"/>
      <c r="IQV22" s="101"/>
      <c r="IQW22" s="101"/>
      <c r="IQX22" s="101"/>
      <c r="IQY22" s="101"/>
      <c r="IQZ22" s="101"/>
      <c r="IRA22" s="101"/>
      <c r="IRB22" s="101"/>
      <c r="IRC22" s="101"/>
      <c r="IRD22" s="101"/>
      <c r="IRE22" s="101"/>
      <c r="IRF22" s="101"/>
      <c r="IRG22" s="101"/>
      <c r="IRH22" s="101"/>
      <c r="IRI22" s="101"/>
      <c r="IRJ22" s="101"/>
      <c r="IRK22" s="101"/>
      <c r="IRL22" s="101"/>
      <c r="IRM22" s="101"/>
      <c r="IRN22" s="101"/>
      <c r="IRO22" s="101"/>
      <c r="IRP22" s="101"/>
      <c r="IRQ22" s="101"/>
      <c r="IRR22" s="101"/>
      <c r="IRS22" s="101"/>
      <c r="IRT22" s="101"/>
      <c r="IRU22" s="101"/>
      <c r="IRV22" s="101"/>
      <c r="IRW22" s="101"/>
      <c r="IRX22" s="101"/>
      <c r="IRY22" s="101"/>
      <c r="IRZ22" s="101"/>
      <c r="ISA22" s="101"/>
      <c r="ISB22" s="101"/>
      <c r="ISC22" s="101"/>
      <c r="ISD22" s="101"/>
      <c r="ISE22" s="101"/>
      <c r="ISF22" s="101"/>
      <c r="ISG22" s="101"/>
      <c r="ISH22" s="101"/>
      <c r="ISI22" s="101"/>
      <c r="ISJ22" s="101"/>
      <c r="ISK22" s="101"/>
      <c r="ISL22" s="101"/>
      <c r="ISM22" s="101"/>
      <c r="ISN22" s="101"/>
      <c r="ISO22" s="101"/>
      <c r="ISP22" s="101"/>
      <c r="ISQ22" s="101"/>
      <c r="ISR22" s="101"/>
      <c r="ISS22" s="101"/>
      <c r="IST22" s="101"/>
      <c r="ISU22" s="101"/>
      <c r="ISV22" s="101"/>
      <c r="ISW22" s="101"/>
      <c r="ISX22" s="101"/>
      <c r="ISY22" s="101"/>
      <c r="ISZ22" s="101"/>
      <c r="ITA22" s="101"/>
      <c r="ITB22" s="101"/>
      <c r="ITC22" s="101"/>
      <c r="ITD22" s="101"/>
      <c r="ITE22" s="101"/>
      <c r="ITF22" s="101"/>
      <c r="ITG22" s="101"/>
      <c r="ITH22" s="101"/>
      <c r="ITI22" s="101"/>
      <c r="ITJ22" s="101"/>
      <c r="ITK22" s="101"/>
      <c r="ITL22" s="101"/>
      <c r="ITM22" s="101"/>
      <c r="ITN22" s="101"/>
      <c r="ITO22" s="101"/>
      <c r="ITP22" s="101"/>
      <c r="ITQ22" s="101"/>
      <c r="ITR22" s="101"/>
      <c r="ITS22" s="101"/>
      <c r="ITT22" s="101"/>
      <c r="ITU22" s="101"/>
      <c r="ITV22" s="101"/>
      <c r="ITW22" s="101"/>
      <c r="ITX22" s="101"/>
      <c r="ITY22" s="101"/>
      <c r="ITZ22" s="101"/>
      <c r="IUA22" s="101"/>
      <c r="IUB22" s="101"/>
      <c r="IUC22" s="101"/>
      <c r="IUD22" s="101"/>
      <c r="IUE22" s="101"/>
      <c r="IUF22" s="101"/>
      <c r="IUG22" s="101"/>
      <c r="IUH22" s="101"/>
      <c r="IUI22" s="101"/>
      <c r="IUJ22" s="101"/>
      <c r="IUK22" s="101"/>
      <c r="IUL22" s="101"/>
      <c r="IUM22" s="101"/>
      <c r="IUN22" s="101"/>
      <c r="IUO22" s="101"/>
      <c r="IUP22" s="101"/>
      <c r="IUQ22" s="101"/>
      <c r="IUR22" s="101"/>
      <c r="IUS22" s="101"/>
      <c r="IUT22" s="101"/>
      <c r="IUU22" s="101"/>
      <c r="IUV22" s="101"/>
      <c r="IUW22" s="101"/>
      <c r="IUX22" s="101"/>
      <c r="IUY22" s="101"/>
      <c r="IUZ22" s="101"/>
      <c r="IVA22" s="101"/>
      <c r="IVB22" s="101"/>
      <c r="IVC22" s="101"/>
      <c r="IVD22" s="101"/>
      <c r="IVE22" s="101"/>
      <c r="IVF22" s="101"/>
      <c r="IVG22" s="101"/>
      <c r="IVH22" s="101"/>
      <c r="IVI22" s="101"/>
      <c r="IVJ22" s="101"/>
      <c r="IVK22" s="101"/>
      <c r="IVL22" s="101"/>
      <c r="IVM22" s="101"/>
      <c r="IVN22" s="101"/>
      <c r="IVO22" s="101"/>
      <c r="IVP22" s="101"/>
      <c r="IVQ22" s="101"/>
      <c r="IVR22" s="101"/>
      <c r="IVS22" s="101"/>
      <c r="IVT22" s="101"/>
      <c r="IVU22" s="101"/>
      <c r="IVV22" s="101"/>
      <c r="IVW22" s="101"/>
      <c r="IVX22" s="101"/>
      <c r="IVY22" s="101"/>
      <c r="IVZ22" s="101"/>
      <c r="IWA22" s="101"/>
      <c r="IWB22" s="101"/>
      <c r="IWC22" s="101"/>
      <c r="IWD22" s="101"/>
      <c r="IWE22" s="101"/>
      <c r="IWF22" s="101"/>
      <c r="IWG22" s="101"/>
      <c r="IWH22" s="101"/>
      <c r="IWI22" s="101"/>
      <c r="IWJ22" s="101"/>
      <c r="IWK22" s="101"/>
      <c r="IWL22" s="101"/>
      <c r="IWM22" s="101"/>
      <c r="IWN22" s="101"/>
      <c r="IWO22" s="101"/>
      <c r="IWP22" s="101"/>
      <c r="IWQ22" s="101"/>
      <c r="IWR22" s="101"/>
      <c r="IWS22" s="101"/>
      <c r="IWT22" s="101"/>
      <c r="IWU22" s="101"/>
      <c r="IWV22" s="101"/>
      <c r="IWW22" s="101"/>
      <c r="IWX22" s="101"/>
      <c r="IWY22" s="101"/>
      <c r="IWZ22" s="101"/>
      <c r="IXA22" s="101"/>
      <c r="IXB22" s="101"/>
      <c r="IXC22" s="101"/>
      <c r="IXD22" s="101"/>
      <c r="IXE22" s="101"/>
      <c r="IXF22" s="101"/>
      <c r="IXG22" s="101"/>
      <c r="IXH22" s="101"/>
      <c r="IXI22" s="101"/>
      <c r="IXJ22" s="101"/>
      <c r="IXK22" s="101"/>
      <c r="IXL22" s="101"/>
      <c r="IXM22" s="101"/>
      <c r="IXN22" s="101"/>
      <c r="IXO22" s="101"/>
      <c r="IXP22" s="101"/>
      <c r="IXQ22" s="101"/>
      <c r="IXR22" s="101"/>
      <c r="IXS22" s="101"/>
      <c r="IXT22" s="101"/>
      <c r="IXU22" s="101"/>
      <c r="IXV22" s="101"/>
      <c r="IXW22" s="101"/>
      <c r="IXX22" s="101"/>
      <c r="IXY22" s="101"/>
      <c r="IXZ22" s="101"/>
      <c r="IYA22" s="101"/>
      <c r="IYB22" s="101"/>
      <c r="IYC22" s="101"/>
      <c r="IYD22" s="101"/>
      <c r="IYE22" s="101"/>
      <c r="IYF22" s="101"/>
      <c r="IYG22" s="101"/>
      <c r="IYH22" s="101"/>
      <c r="IYI22" s="101"/>
      <c r="IYJ22" s="101"/>
      <c r="IYK22" s="101"/>
      <c r="IYL22" s="101"/>
      <c r="IYM22" s="101"/>
      <c r="IYN22" s="101"/>
      <c r="IYO22" s="101"/>
      <c r="IYP22" s="101"/>
      <c r="IYQ22" s="101"/>
      <c r="IYR22" s="101"/>
      <c r="IYS22" s="101"/>
      <c r="IYT22" s="101"/>
      <c r="IYU22" s="101"/>
      <c r="IYV22" s="101"/>
      <c r="IYW22" s="101"/>
      <c r="IYX22" s="101"/>
      <c r="IYY22" s="101"/>
      <c r="IYZ22" s="101"/>
      <c r="IZA22" s="101"/>
      <c r="IZB22" s="101"/>
      <c r="IZC22" s="101"/>
      <c r="IZD22" s="101"/>
      <c r="IZE22" s="101"/>
      <c r="IZF22" s="101"/>
      <c r="IZG22" s="101"/>
      <c r="IZH22" s="101"/>
      <c r="IZI22" s="101"/>
      <c r="IZJ22" s="101"/>
      <c r="IZK22" s="101"/>
      <c r="IZL22" s="101"/>
      <c r="IZM22" s="101"/>
      <c r="IZN22" s="101"/>
      <c r="IZO22" s="101"/>
      <c r="IZP22" s="101"/>
      <c r="IZQ22" s="101"/>
      <c r="IZR22" s="101"/>
      <c r="IZS22" s="101"/>
      <c r="IZT22" s="101"/>
      <c r="IZU22" s="101"/>
      <c r="IZV22" s="101"/>
      <c r="IZW22" s="101"/>
      <c r="IZX22" s="101"/>
      <c r="IZY22" s="101"/>
      <c r="IZZ22" s="101"/>
      <c r="JAA22" s="101"/>
      <c r="JAB22" s="101"/>
      <c r="JAC22" s="101"/>
      <c r="JAD22" s="101"/>
      <c r="JAE22" s="101"/>
      <c r="JAF22" s="101"/>
      <c r="JAG22" s="101"/>
      <c r="JAH22" s="101"/>
      <c r="JAI22" s="101"/>
      <c r="JAJ22" s="101"/>
      <c r="JAK22" s="101"/>
      <c r="JAL22" s="101"/>
      <c r="JAM22" s="101"/>
      <c r="JAN22" s="101"/>
      <c r="JAO22" s="101"/>
      <c r="JAP22" s="101"/>
      <c r="JAQ22" s="101"/>
      <c r="JAR22" s="101"/>
      <c r="JAS22" s="101"/>
      <c r="JAT22" s="101"/>
      <c r="JAU22" s="101"/>
      <c r="JAV22" s="101"/>
      <c r="JAW22" s="101"/>
      <c r="JAX22" s="101"/>
      <c r="JAY22" s="101"/>
      <c r="JAZ22" s="101"/>
      <c r="JBA22" s="101"/>
      <c r="JBB22" s="101"/>
      <c r="JBC22" s="101"/>
      <c r="JBD22" s="101"/>
      <c r="JBE22" s="101"/>
      <c r="JBF22" s="101"/>
      <c r="JBG22" s="101"/>
      <c r="JBH22" s="101"/>
      <c r="JBI22" s="101"/>
      <c r="JBJ22" s="101"/>
      <c r="JBK22" s="101"/>
      <c r="JBL22" s="101"/>
      <c r="JBM22" s="101"/>
      <c r="JBN22" s="101"/>
      <c r="JBO22" s="101"/>
      <c r="JBP22" s="101"/>
      <c r="JBQ22" s="101"/>
      <c r="JBR22" s="101"/>
      <c r="JBS22" s="101"/>
      <c r="JBT22" s="101"/>
      <c r="JBU22" s="101"/>
      <c r="JBV22" s="101"/>
      <c r="JBW22" s="101"/>
      <c r="JBX22" s="101"/>
      <c r="JBY22" s="101"/>
      <c r="JBZ22" s="101"/>
      <c r="JCA22" s="101"/>
      <c r="JCB22" s="101"/>
      <c r="JCC22" s="101"/>
      <c r="JCD22" s="101"/>
      <c r="JCE22" s="101"/>
      <c r="JCF22" s="101"/>
      <c r="JCG22" s="101"/>
      <c r="JCH22" s="101"/>
      <c r="JCI22" s="101"/>
      <c r="JCJ22" s="101"/>
      <c r="JCK22" s="101"/>
      <c r="JCL22" s="101"/>
      <c r="JCM22" s="101"/>
      <c r="JCN22" s="101"/>
      <c r="JCO22" s="101"/>
      <c r="JCP22" s="101"/>
      <c r="JCQ22" s="101"/>
      <c r="JCR22" s="101"/>
      <c r="JCS22" s="101"/>
      <c r="JCT22" s="101"/>
      <c r="JCU22" s="101"/>
      <c r="JCV22" s="101"/>
      <c r="JCW22" s="101"/>
      <c r="JCX22" s="101"/>
      <c r="JCY22" s="101"/>
      <c r="JCZ22" s="101"/>
      <c r="JDA22" s="101"/>
      <c r="JDB22" s="101"/>
      <c r="JDC22" s="101"/>
      <c r="JDD22" s="101"/>
      <c r="JDE22" s="101"/>
      <c r="JDF22" s="101"/>
      <c r="JDG22" s="101"/>
      <c r="JDH22" s="101"/>
      <c r="JDI22" s="101"/>
      <c r="JDJ22" s="101"/>
      <c r="JDK22" s="101"/>
      <c r="JDL22" s="101"/>
      <c r="JDM22" s="101"/>
      <c r="JDN22" s="101"/>
      <c r="JDO22" s="101"/>
      <c r="JDP22" s="101"/>
      <c r="JDQ22" s="101"/>
      <c r="JDR22" s="101"/>
      <c r="JDS22" s="101"/>
      <c r="JDT22" s="101"/>
      <c r="JDU22" s="101"/>
      <c r="JDV22" s="101"/>
      <c r="JDW22" s="101"/>
      <c r="JDX22" s="101"/>
      <c r="JDY22" s="101"/>
      <c r="JDZ22" s="101"/>
      <c r="JEA22" s="101"/>
      <c r="JEB22" s="101"/>
      <c r="JEC22" s="101"/>
      <c r="JED22" s="101"/>
      <c r="JEE22" s="101"/>
      <c r="JEF22" s="101"/>
      <c r="JEG22" s="101"/>
      <c r="JEH22" s="101"/>
      <c r="JEI22" s="101"/>
      <c r="JEJ22" s="101"/>
      <c r="JEK22" s="101"/>
      <c r="JEL22" s="101"/>
      <c r="JEM22" s="101"/>
      <c r="JEN22" s="101"/>
      <c r="JEO22" s="101"/>
      <c r="JEP22" s="101"/>
      <c r="JEQ22" s="101"/>
      <c r="JER22" s="101"/>
      <c r="JES22" s="101"/>
      <c r="JET22" s="101"/>
      <c r="JEU22" s="101"/>
      <c r="JEV22" s="101"/>
      <c r="JEW22" s="101"/>
      <c r="JEX22" s="101"/>
      <c r="JEY22" s="101"/>
      <c r="JEZ22" s="101"/>
      <c r="JFA22" s="101"/>
      <c r="JFB22" s="101"/>
      <c r="JFC22" s="101"/>
      <c r="JFD22" s="101"/>
      <c r="JFE22" s="101"/>
      <c r="JFF22" s="101"/>
      <c r="JFG22" s="101"/>
      <c r="JFH22" s="101"/>
      <c r="JFI22" s="101"/>
      <c r="JFJ22" s="101"/>
      <c r="JFK22" s="101"/>
      <c r="JFL22" s="101"/>
      <c r="JFM22" s="101"/>
      <c r="JFN22" s="101"/>
      <c r="JFO22" s="101"/>
      <c r="JFP22" s="101"/>
      <c r="JFQ22" s="101"/>
      <c r="JFR22" s="101"/>
      <c r="JFS22" s="101"/>
      <c r="JFT22" s="101"/>
      <c r="JFU22" s="101"/>
      <c r="JFV22" s="101"/>
      <c r="JFW22" s="101"/>
      <c r="JFX22" s="101"/>
      <c r="JFY22" s="101"/>
      <c r="JFZ22" s="101"/>
      <c r="JGA22" s="101"/>
      <c r="JGB22" s="101"/>
      <c r="JGC22" s="101"/>
      <c r="JGD22" s="101"/>
      <c r="JGE22" s="101"/>
      <c r="JGF22" s="101"/>
      <c r="JGG22" s="101"/>
      <c r="JGH22" s="101"/>
      <c r="JGI22" s="101"/>
      <c r="JGJ22" s="101"/>
      <c r="JGK22" s="101"/>
      <c r="JGL22" s="101"/>
      <c r="JGM22" s="101"/>
      <c r="JGN22" s="101"/>
      <c r="JGO22" s="101"/>
      <c r="JGP22" s="101"/>
      <c r="JGQ22" s="101"/>
      <c r="JGR22" s="101"/>
      <c r="JGS22" s="101"/>
      <c r="JGT22" s="101"/>
      <c r="JGU22" s="101"/>
      <c r="JGV22" s="101"/>
      <c r="JGW22" s="101"/>
      <c r="JGX22" s="101"/>
      <c r="JGY22" s="101"/>
      <c r="JGZ22" s="101"/>
      <c r="JHA22" s="101"/>
      <c r="JHB22" s="101"/>
      <c r="JHC22" s="101"/>
      <c r="JHD22" s="101"/>
      <c r="JHE22" s="101"/>
      <c r="JHF22" s="101"/>
      <c r="JHG22" s="101"/>
      <c r="JHH22" s="101"/>
      <c r="JHI22" s="101"/>
      <c r="JHJ22" s="101"/>
      <c r="JHK22" s="101"/>
      <c r="JHL22" s="101"/>
      <c r="JHM22" s="101"/>
      <c r="JHN22" s="101"/>
      <c r="JHO22" s="101"/>
      <c r="JHP22" s="101"/>
      <c r="JHQ22" s="101"/>
      <c r="JHR22" s="101"/>
      <c r="JHS22" s="101"/>
      <c r="JHT22" s="101"/>
      <c r="JHU22" s="101"/>
      <c r="JHV22" s="101"/>
      <c r="JHW22" s="101"/>
      <c r="JHX22" s="101"/>
      <c r="JHY22" s="101"/>
      <c r="JHZ22" s="101"/>
      <c r="JIA22" s="101"/>
      <c r="JIB22" s="101"/>
      <c r="JIC22" s="101"/>
      <c r="JID22" s="101"/>
      <c r="JIE22" s="101"/>
      <c r="JIF22" s="101"/>
      <c r="JIG22" s="101"/>
      <c r="JIH22" s="101"/>
      <c r="JII22" s="101"/>
      <c r="JIJ22" s="101"/>
      <c r="JIK22" s="101"/>
      <c r="JIL22" s="101"/>
      <c r="JIM22" s="101"/>
      <c r="JIN22" s="101"/>
      <c r="JIO22" s="101"/>
      <c r="JIP22" s="101"/>
      <c r="JIQ22" s="101"/>
      <c r="JIR22" s="101"/>
      <c r="JIS22" s="101"/>
      <c r="JIT22" s="101"/>
      <c r="JIU22" s="101"/>
      <c r="JIV22" s="101"/>
      <c r="JIW22" s="101"/>
      <c r="JIX22" s="101"/>
      <c r="JIY22" s="101"/>
      <c r="JIZ22" s="101"/>
      <c r="JJA22" s="101"/>
      <c r="JJB22" s="101"/>
      <c r="JJC22" s="101"/>
      <c r="JJD22" s="101"/>
      <c r="JJE22" s="101"/>
      <c r="JJF22" s="101"/>
      <c r="JJG22" s="101"/>
      <c r="JJH22" s="101"/>
      <c r="JJI22" s="101"/>
      <c r="JJJ22" s="101"/>
      <c r="JJK22" s="101"/>
      <c r="JJL22" s="101"/>
      <c r="JJM22" s="101"/>
      <c r="JJN22" s="101"/>
      <c r="JJO22" s="101"/>
      <c r="JJP22" s="101"/>
      <c r="JJQ22" s="101"/>
      <c r="JJR22" s="101"/>
      <c r="JJS22" s="101"/>
      <c r="JJT22" s="101"/>
      <c r="JJU22" s="101"/>
      <c r="JJV22" s="101"/>
      <c r="JJW22" s="101"/>
      <c r="JJX22" s="101"/>
      <c r="JJY22" s="101"/>
      <c r="JJZ22" s="101"/>
      <c r="JKA22" s="101"/>
      <c r="JKB22" s="101"/>
      <c r="JKC22" s="101"/>
      <c r="JKD22" s="101"/>
      <c r="JKE22" s="101"/>
      <c r="JKF22" s="101"/>
      <c r="JKG22" s="101"/>
      <c r="JKH22" s="101"/>
      <c r="JKI22" s="101"/>
      <c r="JKJ22" s="101"/>
      <c r="JKK22" s="101"/>
      <c r="JKL22" s="101"/>
      <c r="JKM22" s="101"/>
      <c r="JKN22" s="101"/>
      <c r="JKO22" s="101"/>
      <c r="JKP22" s="101"/>
      <c r="JKQ22" s="101"/>
      <c r="JKR22" s="101"/>
      <c r="JKS22" s="101"/>
      <c r="JKT22" s="101"/>
      <c r="JKU22" s="101"/>
      <c r="JKV22" s="101"/>
      <c r="JKW22" s="101"/>
      <c r="JKX22" s="101"/>
      <c r="JKY22" s="101"/>
      <c r="JKZ22" s="101"/>
      <c r="JLA22" s="101"/>
      <c r="JLB22" s="101"/>
      <c r="JLC22" s="101"/>
      <c r="JLD22" s="101"/>
      <c r="JLE22" s="101"/>
      <c r="JLF22" s="101"/>
      <c r="JLG22" s="101"/>
      <c r="JLH22" s="101"/>
      <c r="JLI22" s="101"/>
      <c r="JLJ22" s="101"/>
      <c r="JLK22" s="101"/>
      <c r="JLL22" s="101"/>
      <c r="JLM22" s="101"/>
      <c r="JLN22" s="101"/>
      <c r="JLO22" s="101"/>
      <c r="JLP22" s="101"/>
      <c r="JLQ22" s="101"/>
      <c r="JLR22" s="101"/>
      <c r="JLS22" s="101"/>
      <c r="JLT22" s="101"/>
      <c r="JLU22" s="101"/>
      <c r="JLV22" s="101"/>
      <c r="JLW22" s="101"/>
      <c r="JLX22" s="101"/>
      <c r="JLY22" s="101"/>
      <c r="JLZ22" s="101"/>
      <c r="JMA22" s="101"/>
      <c r="JMB22" s="101"/>
      <c r="JMC22" s="101"/>
      <c r="JMD22" s="101"/>
      <c r="JME22" s="101"/>
      <c r="JMF22" s="101"/>
      <c r="JMG22" s="101"/>
      <c r="JMH22" s="101"/>
      <c r="JMI22" s="101"/>
      <c r="JMJ22" s="101"/>
      <c r="JMK22" s="101"/>
      <c r="JML22" s="101"/>
      <c r="JMM22" s="101"/>
      <c r="JMN22" s="101"/>
      <c r="JMO22" s="101"/>
      <c r="JMP22" s="101"/>
      <c r="JMQ22" s="101"/>
      <c r="JMR22" s="101"/>
      <c r="JMS22" s="101"/>
      <c r="JMT22" s="101"/>
      <c r="JMU22" s="101"/>
      <c r="JMV22" s="101"/>
      <c r="JMW22" s="101"/>
      <c r="JMX22" s="101"/>
      <c r="JMY22" s="101"/>
      <c r="JMZ22" s="101"/>
      <c r="JNA22" s="101"/>
      <c r="JNB22" s="101"/>
      <c r="JNC22" s="101"/>
      <c r="JND22" s="101"/>
      <c r="JNE22" s="101"/>
      <c r="JNF22" s="101"/>
      <c r="JNG22" s="101"/>
      <c r="JNH22" s="101"/>
      <c r="JNI22" s="101"/>
      <c r="JNJ22" s="101"/>
      <c r="JNK22" s="101"/>
      <c r="JNL22" s="101"/>
      <c r="JNM22" s="101"/>
      <c r="JNN22" s="101"/>
      <c r="JNO22" s="101"/>
      <c r="JNP22" s="101"/>
      <c r="JNQ22" s="101"/>
      <c r="JNR22" s="101"/>
      <c r="JNS22" s="101"/>
      <c r="JNT22" s="101"/>
      <c r="JNU22" s="101"/>
      <c r="JNV22" s="101"/>
      <c r="JNW22" s="101"/>
      <c r="JNX22" s="101"/>
      <c r="JNY22" s="101"/>
      <c r="JNZ22" s="101"/>
      <c r="JOA22" s="101"/>
      <c r="JOB22" s="101"/>
      <c r="JOC22" s="101"/>
      <c r="JOD22" s="101"/>
      <c r="JOE22" s="101"/>
      <c r="JOF22" s="101"/>
      <c r="JOG22" s="101"/>
      <c r="JOH22" s="101"/>
      <c r="JOI22" s="101"/>
      <c r="JOJ22" s="101"/>
      <c r="JOK22" s="101"/>
      <c r="JOL22" s="101"/>
      <c r="JOM22" s="101"/>
      <c r="JON22" s="101"/>
      <c r="JOO22" s="101"/>
      <c r="JOP22" s="101"/>
      <c r="JOQ22" s="101"/>
      <c r="JOR22" s="101"/>
      <c r="JOS22" s="101"/>
      <c r="JOT22" s="101"/>
      <c r="JOU22" s="101"/>
      <c r="JOV22" s="101"/>
      <c r="JOW22" s="101"/>
      <c r="JOX22" s="101"/>
      <c r="JOY22" s="101"/>
      <c r="JOZ22" s="101"/>
      <c r="JPA22" s="101"/>
      <c r="JPB22" s="101"/>
      <c r="JPC22" s="101"/>
      <c r="JPD22" s="101"/>
      <c r="JPE22" s="101"/>
      <c r="JPF22" s="101"/>
      <c r="JPG22" s="101"/>
      <c r="JPH22" s="101"/>
      <c r="JPI22" s="101"/>
      <c r="JPJ22" s="101"/>
      <c r="JPK22" s="101"/>
      <c r="JPL22" s="101"/>
      <c r="JPM22" s="101"/>
      <c r="JPN22" s="101"/>
      <c r="JPO22" s="101"/>
      <c r="JPP22" s="101"/>
      <c r="JPQ22" s="101"/>
      <c r="JPR22" s="101"/>
      <c r="JPS22" s="101"/>
      <c r="JPT22" s="101"/>
      <c r="JPU22" s="101"/>
      <c r="JPV22" s="101"/>
      <c r="JPW22" s="101"/>
      <c r="JPX22" s="101"/>
      <c r="JPY22" s="101"/>
      <c r="JPZ22" s="101"/>
      <c r="JQA22" s="101"/>
      <c r="JQB22" s="101"/>
      <c r="JQC22" s="101"/>
      <c r="JQD22" s="101"/>
      <c r="JQE22" s="101"/>
      <c r="JQF22" s="101"/>
      <c r="JQG22" s="101"/>
      <c r="JQH22" s="101"/>
      <c r="JQI22" s="101"/>
      <c r="JQJ22" s="101"/>
      <c r="JQK22" s="101"/>
      <c r="JQL22" s="101"/>
      <c r="JQM22" s="101"/>
      <c r="JQN22" s="101"/>
      <c r="JQO22" s="101"/>
      <c r="JQP22" s="101"/>
      <c r="JQQ22" s="101"/>
      <c r="JQR22" s="101"/>
      <c r="JQS22" s="101"/>
      <c r="JQT22" s="101"/>
      <c r="JQU22" s="101"/>
      <c r="JQV22" s="101"/>
      <c r="JQW22" s="101"/>
      <c r="JQX22" s="101"/>
      <c r="JQY22" s="101"/>
      <c r="JQZ22" s="101"/>
      <c r="JRA22" s="101"/>
      <c r="JRB22" s="101"/>
      <c r="JRC22" s="101"/>
      <c r="JRD22" s="101"/>
      <c r="JRE22" s="101"/>
      <c r="JRF22" s="101"/>
      <c r="JRG22" s="101"/>
      <c r="JRH22" s="101"/>
      <c r="JRI22" s="101"/>
      <c r="JRJ22" s="101"/>
      <c r="JRK22" s="101"/>
      <c r="JRL22" s="101"/>
      <c r="JRM22" s="101"/>
      <c r="JRN22" s="101"/>
      <c r="JRO22" s="101"/>
      <c r="JRP22" s="101"/>
      <c r="JRQ22" s="101"/>
      <c r="JRR22" s="101"/>
      <c r="JRS22" s="101"/>
      <c r="JRT22" s="101"/>
      <c r="JRU22" s="101"/>
      <c r="JRV22" s="101"/>
      <c r="JRW22" s="101"/>
      <c r="JRX22" s="101"/>
      <c r="JRY22" s="101"/>
      <c r="JRZ22" s="101"/>
      <c r="JSA22" s="101"/>
      <c r="JSB22" s="101"/>
      <c r="JSC22" s="101"/>
      <c r="JSD22" s="101"/>
      <c r="JSE22" s="101"/>
      <c r="JSF22" s="101"/>
      <c r="JSG22" s="101"/>
      <c r="JSH22" s="101"/>
      <c r="JSI22" s="101"/>
      <c r="JSJ22" s="101"/>
      <c r="JSK22" s="101"/>
      <c r="JSL22" s="101"/>
      <c r="JSM22" s="101"/>
      <c r="JSN22" s="101"/>
      <c r="JSO22" s="101"/>
      <c r="JSP22" s="101"/>
      <c r="JSQ22" s="101"/>
      <c r="JSR22" s="101"/>
      <c r="JSS22" s="101"/>
      <c r="JST22" s="101"/>
      <c r="JSU22" s="101"/>
      <c r="JSV22" s="101"/>
      <c r="JSW22" s="101"/>
      <c r="JSX22" s="101"/>
      <c r="JSY22" s="101"/>
      <c r="JSZ22" s="101"/>
      <c r="JTA22" s="101"/>
      <c r="JTB22" s="101"/>
      <c r="JTC22" s="101"/>
      <c r="JTD22" s="101"/>
      <c r="JTE22" s="101"/>
      <c r="JTF22" s="101"/>
      <c r="JTG22" s="101"/>
      <c r="JTH22" s="101"/>
      <c r="JTI22" s="101"/>
      <c r="JTJ22" s="101"/>
      <c r="JTK22" s="101"/>
      <c r="JTL22" s="101"/>
      <c r="JTM22" s="101"/>
      <c r="JTN22" s="101"/>
      <c r="JTO22" s="101"/>
      <c r="JTP22" s="101"/>
      <c r="JTQ22" s="101"/>
      <c r="JTR22" s="101"/>
      <c r="JTS22" s="101"/>
      <c r="JTT22" s="101"/>
      <c r="JTU22" s="101"/>
      <c r="JTV22" s="101"/>
      <c r="JTW22" s="101"/>
      <c r="JTX22" s="101"/>
      <c r="JTY22" s="101"/>
      <c r="JTZ22" s="101"/>
      <c r="JUA22" s="101"/>
      <c r="JUB22" s="101"/>
      <c r="JUC22" s="101"/>
      <c r="JUD22" s="101"/>
      <c r="JUE22" s="101"/>
      <c r="JUF22" s="101"/>
      <c r="JUG22" s="101"/>
      <c r="JUH22" s="101"/>
      <c r="JUI22" s="101"/>
      <c r="JUJ22" s="101"/>
      <c r="JUK22" s="101"/>
      <c r="JUL22" s="101"/>
      <c r="JUM22" s="101"/>
      <c r="JUN22" s="101"/>
      <c r="JUO22" s="101"/>
      <c r="JUP22" s="101"/>
      <c r="JUQ22" s="101"/>
      <c r="JUR22" s="101"/>
      <c r="JUS22" s="101"/>
      <c r="JUT22" s="101"/>
      <c r="JUU22" s="101"/>
      <c r="JUV22" s="101"/>
      <c r="JUW22" s="101"/>
      <c r="JUX22" s="101"/>
      <c r="JUY22" s="101"/>
      <c r="JUZ22" s="101"/>
      <c r="JVA22" s="101"/>
      <c r="JVB22" s="101"/>
      <c r="JVC22" s="101"/>
      <c r="JVD22" s="101"/>
      <c r="JVE22" s="101"/>
      <c r="JVF22" s="101"/>
      <c r="JVG22" s="101"/>
      <c r="JVH22" s="101"/>
      <c r="JVI22" s="101"/>
      <c r="JVJ22" s="101"/>
      <c r="JVK22" s="101"/>
      <c r="JVL22" s="101"/>
      <c r="JVM22" s="101"/>
      <c r="JVN22" s="101"/>
      <c r="JVO22" s="101"/>
      <c r="JVP22" s="101"/>
      <c r="JVQ22" s="101"/>
      <c r="JVR22" s="101"/>
      <c r="JVS22" s="101"/>
      <c r="JVT22" s="101"/>
      <c r="JVU22" s="101"/>
      <c r="JVV22" s="101"/>
      <c r="JVW22" s="101"/>
      <c r="JVX22" s="101"/>
      <c r="JVY22" s="101"/>
      <c r="JVZ22" s="101"/>
      <c r="JWA22" s="101"/>
      <c r="JWB22" s="101"/>
      <c r="JWC22" s="101"/>
      <c r="JWD22" s="101"/>
      <c r="JWE22" s="101"/>
      <c r="JWF22" s="101"/>
      <c r="JWG22" s="101"/>
      <c r="JWH22" s="101"/>
      <c r="JWI22" s="101"/>
      <c r="JWJ22" s="101"/>
      <c r="JWK22" s="101"/>
      <c r="JWL22" s="101"/>
      <c r="JWM22" s="101"/>
      <c r="JWN22" s="101"/>
      <c r="JWO22" s="101"/>
      <c r="JWP22" s="101"/>
      <c r="JWQ22" s="101"/>
      <c r="JWR22" s="101"/>
      <c r="JWS22" s="101"/>
      <c r="JWT22" s="101"/>
      <c r="JWU22" s="101"/>
      <c r="JWV22" s="101"/>
      <c r="JWW22" s="101"/>
      <c r="JWX22" s="101"/>
      <c r="JWY22" s="101"/>
      <c r="JWZ22" s="101"/>
      <c r="JXA22" s="101"/>
      <c r="JXB22" s="101"/>
      <c r="JXC22" s="101"/>
      <c r="JXD22" s="101"/>
      <c r="JXE22" s="101"/>
      <c r="JXF22" s="101"/>
      <c r="JXG22" s="101"/>
      <c r="JXH22" s="101"/>
      <c r="JXI22" s="101"/>
      <c r="JXJ22" s="101"/>
      <c r="JXK22" s="101"/>
      <c r="JXL22" s="101"/>
      <c r="JXM22" s="101"/>
      <c r="JXN22" s="101"/>
      <c r="JXO22" s="101"/>
      <c r="JXP22" s="101"/>
      <c r="JXQ22" s="101"/>
      <c r="JXR22" s="101"/>
      <c r="JXS22" s="101"/>
      <c r="JXT22" s="101"/>
      <c r="JXU22" s="101"/>
      <c r="JXV22" s="101"/>
      <c r="JXW22" s="101"/>
      <c r="JXX22" s="101"/>
      <c r="JXY22" s="101"/>
      <c r="JXZ22" s="101"/>
      <c r="JYA22" s="101"/>
      <c r="JYB22" s="101"/>
      <c r="JYC22" s="101"/>
      <c r="JYD22" s="101"/>
      <c r="JYE22" s="101"/>
      <c r="JYF22" s="101"/>
      <c r="JYG22" s="101"/>
      <c r="JYH22" s="101"/>
      <c r="JYI22" s="101"/>
      <c r="JYJ22" s="101"/>
      <c r="JYK22" s="101"/>
      <c r="JYL22" s="101"/>
      <c r="JYM22" s="101"/>
      <c r="JYN22" s="101"/>
      <c r="JYO22" s="101"/>
      <c r="JYP22" s="101"/>
      <c r="JYQ22" s="101"/>
      <c r="JYR22" s="101"/>
      <c r="JYS22" s="101"/>
      <c r="JYT22" s="101"/>
      <c r="JYU22" s="101"/>
      <c r="JYV22" s="101"/>
      <c r="JYW22" s="101"/>
      <c r="JYX22" s="101"/>
      <c r="JYY22" s="101"/>
      <c r="JYZ22" s="101"/>
      <c r="JZA22" s="101"/>
      <c r="JZB22" s="101"/>
      <c r="JZC22" s="101"/>
      <c r="JZD22" s="101"/>
      <c r="JZE22" s="101"/>
      <c r="JZF22" s="101"/>
      <c r="JZG22" s="101"/>
      <c r="JZH22" s="101"/>
      <c r="JZI22" s="101"/>
      <c r="JZJ22" s="101"/>
      <c r="JZK22" s="101"/>
      <c r="JZL22" s="101"/>
      <c r="JZM22" s="101"/>
      <c r="JZN22" s="101"/>
      <c r="JZO22" s="101"/>
      <c r="JZP22" s="101"/>
      <c r="JZQ22" s="101"/>
      <c r="JZR22" s="101"/>
      <c r="JZS22" s="101"/>
      <c r="JZT22" s="101"/>
      <c r="JZU22" s="101"/>
      <c r="JZV22" s="101"/>
      <c r="JZW22" s="101"/>
      <c r="JZX22" s="101"/>
      <c r="JZY22" s="101"/>
      <c r="JZZ22" s="101"/>
      <c r="KAA22" s="101"/>
      <c r="KAB22" s="101"/>
      <c r="KAC22" s="101"/>
      <c r="KAD22" s="101"/>
      <c r="KAE22" s="101"/>
      <c r="KAF22" s="101"/>
      <c r="KAG22" s="101"/>
      <c r="KAH22" s="101"/>
      <c r="KAI22" s="101"/>
      <c r="KAJ22" s="101"/>
      <c r="KAK22" s="101"/>
      <c r="KAL22" s="101"/>
      <c r="KAM22" s="101"/>
      <c r="KAN22" s="101"/>
      <c r="KAO22" s="101"/>
      <c r="KAP22" s="101"/>
      <c r="KAQ22" s="101"/>
      <c r="KAR22" s="101"/>
      <c r="KAS22" s="101"/>
      <c r="KAT22" s="101"/>
      <c r="KAU22" s="101"/>
      <c r="KAV22" s="101"/>
      <c r="KAW22" s="101"/>
      <c r="KAX22" s="101"/>
      <c r="KAY22" s="101"/>
      <c r="KAZ22" s="101"/>
      <c r="KBA22" s="101"/>
      <c r="KBB22" s="101"/>
      <c r="KBC22" s="101"/>
      <c r="KBD22" s="101"/>
      <c r="KBE22" s="101"/>
      <c r="KBF22" s="101"/>
      <c r="KBG22" s="101"/>
      <c r="KBH22" s="101"/>
      <c r="KBI22" s="101"/>
      <c r="KBJ22" s="101"/>
      <c r="KBK22" s="101"/>
      <c r="KBL22" s="101"/>
      <c r="KBM22" s="101"/>
      <c r="KBN22" s="101"/>
      <c r="KBO22" s="101"/>
      <c r="KBP22" s="101"/>
      <c r="KBQ22" s="101"/>
      <c r="KBR22" s="101"/>
      <c r="KBS22" s="101"/>
      <c r="KBT22" s="101"/>
      <c r="KBU22" s="101"/>
      <c r="KBV22" s="101"/>
      <c r="KBW22" s="101"/>
      <c r="KBX22" s="101"/>
      <c r="KBY22" s="101"/>
      <c r="KBZ22" s="101"/>
      <c r="KCA22" s="101"/>
      <c r="KCB22" s="101"/>
      <c r="KCC22" s="101"/>
      <c r="KCD22" s="101"/>
      <c r="KCE22" s="101"/>
      <c r="KCF22" s="101"/>
      <c r="KCG22" s="101"/>
      <c r="KCH22" s="101"/>
      <c r="KCI22" s="101"/>
      <c r="KCJ22" s="101"/>
      <c r="KCK22" s="101"/>
      <c r="KCL22" s="101"/>
      <c r="KCM22" s="101"/>
      <c r="KCN22" s="101"/>
      <c r="KCO22" s="101"/>
      <c r="KCP22" s="101"/>
      <c r="KCQ22" s="101"/>
      <c r="KCR22" s="101"/>
      <c r="KCS22" s="101"/>
      <c r="KCT22" s="101"/>
      <c r="KCU22" s="101"/>
      <c r="KCV22" s="101"/>
      <c r="KCW22" s="101"/>
      <c r="KCX22" s="101"/>
      <c r="KCY22" s="101"/>
      <c r="KCZ22" s="101"/>
      <c r="KDA22" s="101"/>
      <c r="KDB22" s="101"/>
      <c r="KDC22" s="101"/>
      <c r="KDD22" s="101"/>
      <c r="KDE22" s="101"/>
      <c r="KDF22" s="101"/>
      <c r="KDG22" s="101"/>
      <c r="KDH22" s="101"/>
      <c r="KDI22" s="101"/>
      <c r="KDJ22" s="101"/>
      <c r="KDK22" s="101"/>
      <c r="KDL22" s="101"/>
      <c r="KDM22" s="101"/>
      <c r="KDN22" s="101"/>
      <c r="KDO22" s="101"/>
      <c r="KDP22" s="101"/>
      <c r="KDQ22" s="101"/>
      <c r="KDR22" s="101"/>
      <c r="KDS22" s="101"/>
      <c r="KDT22" s="101"/>
      <c r="KDU22" s="101"/>
      <c r="KDV22" s="101"/>
      <c r="KDW22" s="101"/>
      <c r="KDX22" s="101"/>
      <c r="KDY22" s="101"/>
      <c r="KDZ22" s="101"/>
      <c r="KEA22" s="101"/>
      <c r="KEB22" s="101"/>
      <c r="KEC22" s="101"/>
      <c r="KED22" s="101"/>
      <c r="KEE22" s="101"/>
      <c r="KEF22" s="101"/>
      <c r="KEG22" s="101"/>
      <c r="KEH22" s="101"/>
      <c r="KEI22" s="101"/>
      <c r="KEJ22" s="101"/>
      <c r="KEK22" s="101"/>
      <c r="KEL22" s="101"/>
      <c r="KEM22" s="101"/>
      <c r="KEN22" s="101"/>
      <c r="KEO22" s="101"/>
      <c r="KEP22" s="101"/>
      <c r="KEQ22" s="101"/>
      <c r="KER22" s="101"/>
      <c r="KES22" s="101"/>
      <c r="KET22" s="101"/>
      <c r="KEU22" s="101"/>
      <c r="KEV22" s="101"/>
      <c r="KEW22" s="101"/>
      <c r="KEX22" s="101"/>
      <c r="KEY22" s="101"/>
      <c r="KEZ22" s="101"/>
      <c r="KFA22" s="101"/>
      <c r="KFB22" s="101"/>
      <c r="KFC22" s="101"/>
      <c r="KFD22" s="101"/>
      <c r="KFE22" s="101"/>
      <c r="KFF22" s="101"/>
      <c r="KFG22" s="101"/>
      <c r="KFH22" s="101"/>
      <c r="KFI22" s="101"/>
      <c r="KFJ22" s="101"/>
      <c r="KFK22" s="101"/>
      <c r="KFL22" s="101"/>
      <c r="KFM22" s="101"/>
      <c r="KFN22" s="101"/>
      <c r="KFO22" s="101"/>
      <c r="KFP22" s="101"/>
      <c r="KFQ22" s="101"/>
      <c r="KFR22" s="101"/>
      <c r="KFS22" s="101"/>
      <c r="KFT22" s="101"/>
      <c r="KFU22" s="101"/>
      <c r="KFV22" s="101"/>
      <c r="KFW22" s="101"/>
      <c r="KFX22" s="101"/>
      <c r="KFY22" s="101"/>
      <c r="KFZ22" s="101"/>
      <c r="KGA22" s="101"/>
      <c r="KGB22" s="101"/>
      <c r="KGC22" s="101"/>
      <c r="KGD22" s="101"/>
      <c r="KGE22" s="101"/>
      <c r="KGF22" s="101"/>
      <c r="KGG22" s="101"/>
      <c r="KGH22" s="101"/>
      <c r="KGI22" s="101"/>
      <c r="KGJ22" s="101"/>
      <c r="KGK22" s="101"/>
      <c r="KGL22" s="101"/>
      <c r="KGM22" s="101"/>
      <c r="KGN22" s="101"/>
      <c r="KGO22" s="101"/>
      <c r="KGP22" s="101"/>
      <c r="KGQ22" s="101"/>
      <c r="KGR22" s="101"/>
      <c r="KGS22" s="101"/>
      <c r="KGT22" s="101"/>
      <c r="KGU22" s="101"/>
      <c r="KGV22" s="101"/>
      <c r="KGW22" s="101"/>
      <c r="KGX22" s="101"/>
      <c r="KGY22" s="101"/>
      <c r="KGZ22" s="101"/>
      <c r="KHA22" s="101"/>
      <c r="KHB22" s="101"/>
      <c r="KHC22" s="101"/>
      <c r="KHD22" s="101"/>
      <c r="KHE22" s="101"/>
      <c r="KHF22" s="101"/>
      <c r="KHG22" s="101"/>
      <c r="KHH22" s="101"/>
      <c r="KHI22" s="101"/>
      <c r="KHJ22" s="101"/>
      <c r="KHK22" s="101"/>
      <c r="KHL22" s="101"/>
      <c r="KHM22" s="101"/>
      <c r="KHN22" s="101"/>
      <c r="KHO22" s="101"/>
      <c r="KHP22" s="101"/>
      <c r="KHQ22" s="101"/>
      <c r="KHR22" s="101"/>
      <c r="KHS22" s="101"/>
      <c r="KHT22" s="101"/>
      <c r="KHU22" s="101"/>
      <c r="KHV22" s="101"/>
      <c r="KHW22" s="101"/>
      <c r="KHX22" s="101"/>
      <c r="KHY22" s="101"/>
      <c r="KHZ22" s="101"/>
      <c r="KIA22" s="101"/>
      <c r="KIB22" s="101"/>
      <c r="KIC22" s="101"/>
      <c r="KID22" s="101"/>
      <c r="KIE22" s="101"/>
      <c r="KIF22" s="101"/>
      <c r="KIG22" s="101"/>
      <c r="KIH22" s="101"/>
      <c r="KII22" s="101"/>
      <c r="KIJ22" s="101"/>
      <c r="KIK22" s="101"/>
      <c r="KIL22" s="101"/>
      <c r="KIM22" s="101"/>
      <c r="KIN22" s="101"/>
      <c r="KIO22" s="101"/>
      <c r="KIP22" s="101"/>
      <c r="KIQ22" s="101"/>
      <c r="KIR22" s="101"/>
      <c r="KIS22" s="101"/>
      <c r="KIT22" s="101"/>
      <c r="KIU22" s="101"/>
      <c r="KIV22" s="101"/>
      <c r="KIW22" s="101"/>
      <c r="KIX22" s="101"/>
      <c r="KIY22" s="101"/>
      <c r="KIZ22" s="101"/>
      <c r="KJA22" s="101"/>
      <c r="KJB22" s="101"/>
      <c r="KJC22" s="101"/>
      <c r="KJD22" s="101"/>
      <c r="KJE22" s="101"/>
      <c r="KJF22" s="101"/>
      <c r="KJG22" s="101"/>
      <c r="KJH22" s="101"/>
      <c r="KJI22" s="101"/>
      <c r="KJJ22" s="101"/>
      <c r="KJK22" s="101"/>
      <c r="KJL22" s="101"/>
      <c r="KJM22" s="101"/>
      <c r="KJN22" s="101"/>
      <c r="KJO22" s="101"/>
      <c r="KJP22" s="101"/>
      <c r="KJQ22" s="101"/>
      <c r="KJR22" s="101"/>
      <c r="KJS22" s="101"/>
      <c r="KJT22" s="101"/>
      <c r="KJU22" s="101"/>
      <c r="KJV22" s="101"/>
      <c r="KJW22" s="101"/>
      <c r="KJX22" s="101"/>
      <c r="KJY22" s="101"/>
      <c r="KJZ22" s="101"/>
      <c r="KKA22" s="101"/>
      <c r="KKB22" s="101"/>
      <c r="KKC22" s="101"/>
      <c r="KKD22" s="101"/>
      <c r="KKE22" s="101"/>
      <c r="KKF22" s="101"/>
      <c r="KKG22" s="101"/>
      <c r="KKH22" s="101"/>
      <c r="KKI22" s="101"/>
      <c r="KKJ22" s="101"/>
      <c r="KKK22" s="101"/>
      <c r="KKL22" s="101"/>
      <c r="KKM22" s="101"/>
      <c r="KKN22" s="101"/>
      <c r="KKO22" s="101"/>
      <c r="KKP22" s="101"/>
      <c r="KKQ22" s="101"/>
      <c r="KKR22" s="101"/>
      <c r="KKS22" s="101"/>
      <c r="KKT22" s="101"/>
      <c r="KKU22" s="101"/>
      <c r="KKV22" s="101"/>
      <c r="KKW22" s="101"/>
      <c r="KKX22" s="101"/>
      <c r="KKY22" s="101"/>
      <c r="KKZ22" s="101"/>
      <c r="KLA22" s="101"/>
      <c r="KLB22" s="101"/>
      <c r="KLC22" s="101"/>
      <c r="KLD22" s="101"/>
      <c r="KLE22" s="101"/>
      <c r="KLF22" s="101"/>
      <c r="KLG22" s="101"/>
      <c r="KLH22" s="101"/>
      <c r="KLI22" s="101"/>
      <c r="KLJ22" s="101"/>
      <c r="KLK22" s="101"/>
      <c r="KLL22" s="101"/>
      <c r="KLM22" s="101"/>
      <c r="KLN22" s="101"/>
      <c r="KLO22" s="101"/>
      <c r="KLP22" s="101"/>
      <c r="KLQ22" s="101"/>
      <c r="KLR22" s="101"/>
      <c r="KLS22" s="101"/>
      <c r="KLT22" s="101"/>
      <c r="KLU22" s="101"/>
      <c r="KLV22" s="101"/>
      <c r="KLW22" s="101"/>
      <c r="KLX22" s="101"/>
      <c r="KLY22" s="101"/>
      <c r="KLZ22" s="101"/>
      <c r="KMA22" s="101"/>
      <c r="KMB22" s="101"/>
      <c r="KMC22" s="101"/>
      <c r="KMD22" s="101"/>
      <c r="KME22" s="101"/>
      <c r="KMF22" s="101"/>
      <c r="KMG22" s="101"/>
      <c r="KMH22" s="101"/>
      <c r="KMI22" s="101"/>
      <c r="KMJ22" s="101"/>
      <c r="KMK22" s="101"/>
      <c r="KML22" s="101"/>
      <c r="KMM22" s="101"/>
      <c r="KMN22" s="101"/>
      <c r="KMO22" s="101"/>
      <c r="KMP22" s="101"/>
      <c r="KMQ22" s="101"/>
      <c r="KMR22" s="101"/>
      <c r="KMS22" s="101"/>
      <c r="KMT22" s="101"/>
      <c r="KMU22" s="101"/>
      <c r="KMV22" s="101"/>
      <c r="KMW22" s="101"/>
      <c r="KMX22" s="101"/>
      <c r="KMY22" s="101"/>
      <c r="KMZ22" s="101"/>
      <c r="KNA22" s="101"/>
      <c r="KNB22" s="101"/>
      <c r="KNC22" s="101"/>
      <c r="KND22" s="101"/>
      <c r="KNE22" s="101"/>
      <c r="KNF22" s="101"/>
      <c r="KNG22" s="101"/>
      <c r="KNH22" s="101"/>
      <c r="KNI22" s="101"/>
      <c r="KNJ22" s="101"/>
      <c r="KNK22" s="101"/>
      <c r="KNL22" s="101"/>
      <c r="KNM22" s="101"/>
      <c r="KNN22" s="101"/>
      <c r="KNO22" s="101"/>
      <c r="KNP22" s="101"/>
      <c r="KNQ22" s="101"/>
      <c r="KNR22" s="101"/>
      <c r="KNS22" s="101"/>
      <c r="KNT22" s="101"/>
      <c r="KNU22" s="101"/>
      <c r="KNV22" s="101"/>
      <c r="KNW22" s="101"/>
      <c r="KNX22" s="101"/>
      <c r="KNY22" s="101"/>
      <c r="KNZ22" s="101"/>
      <c r="KOA22" s="101"/>
      <c r="KOB22" s="101"/>
      <c r="KOC22" s="101"/>
      <c r="KOD22" s="101"/>
      <c r="KOE22" s="101"/>
      <c r="KOF22" s="101"/>
      <c r="KOG22" s="101"/>
      <c r="KOH22" s="101"/>
      <c r="KOI22" s="101"/>
      <c r="KOJ22" s="101"/>
      <c r="KOK22" s="101"/>
      <c r="KOL22" s="101"/>
      <c r="KOM22" s="101"/>
      <c r="KON22" s="101"/>
      <c r="KOO22" s="101"/>
      <c r="KOP22" s="101"/>
      <c r="KOQ22" s="101"/>
      <c r="KOR22" s="101"/>
      <c r="KOS22" s="101"/>
      <c r="KOT22" s="101"/>
      <c r="KOU22" s="101"/>
      <c r="KOV22" s="101"/>
      <c r="KOW22" s="101"/>
      <c r="KOX22" s="101"/>
      <c r="KOY22" s="101"/>
      <c r="KOZ22" s="101"/>
      <c r="KPA22" s="101"/>
      <c r="KPB22" s="101"/>
      <c r="KPC22" s="101"/>
      <c r="KPD22" s="101"/>
      <c r="KPE22" s="101"/>
      <c r="KPF22" s="101"/>
      <c r="KPG22" s="101"/>
      <c r="KPH22" s="101"/>
      <c r="KPI22" s="101"/>
      <c r="KPJ22" s="101"/>
      <c r="KPK22" s="101"/>
      <c r="KPL22" s="101"/>
      <c r="KPM22" s="101"/>
      <c r="KPN22" s="101"/>
      <c r="KPO22" s="101"/>
      <c r="KPP22" s="101"/>
      <c r="KPQ22" s="101"/>
      <c r="KPR22" s="101"/>
      <c r="KPS22" s="101"/>
      <c r="KPT22" s="101"/>
      <c r="KPU22" s="101"/>
      <c r="KPV22" s="101"/>
      <c r="KPW22" s="101"/>
      <c r="KPX22" s="101"/>
      <c r="KPY22" s="101"/>
      <c r="KPZ22" s="101"/>
      <c r="KQA22" s="101"/>
      <c r="KQB22" s="101"/>
      <c r="KQC22" s="101"/>
      <c r="KQD22" s="101"/>
      <c r="KQE22" s="101"/>
      <c r="KQF22" s="101"/>
      <c r="KQG22" s="101"/>
      <c r="KQH22" s="101"/>
      <c r="KQI22" s="101"/>
      <c r="KQJ22" s="101"/>
      <c r="KQK22" s="101"/>
      <c r="KQL22" s="101"/>
      <c r="KQM22" s="101"/>
      <c r="KQN22" s="101"/>
      <c r="KQO22" s="101"/>
      <c r="KQP22" s="101"/>
      <c r="KQQ22" s="101"/>
      <c r="KQR22" s="101"/>
      <c r="KQS22" s="101"/>
      <c r="KQT22" s="101"/>
      <c r="KQU22" s="101"/>
      <c r="KQV22" s="101"/>
      <c r="KQW22" s="101"/>
      <c r="KQX22" s="101"/>
      <c r="KQY22" s="101"/>
      <c r="KQZ22" s="101"/>
      <c r="KRA22" s="101"/>
      <c r="KRB22" s="101"/>
      <c r="KRC22" s="101"/>
      <c r="KRD22" s="101"/>
      <c r="KRE22" s="101"/>
      <c r="KRF22" s="101"/>
      <c r="KRG22" s="101"/>
      <c r="KRH22" s="101"/>
      <c r="KRI22" s="101"/>
      <c r="KRJ22" s="101"/>
      <c r="KRK22" s="101"/>
      <c r="KRL22" s="101"/>
      <c r="KRM22" s="101"/>
      <c r="KRN22" s="101"/>
      <c r="KRO22" s="101"/>
      <c r="KRP22" s="101"/>
      <c r="KRQ22" s="101"/>
      <c r="KRR22" s="101"/>
      <c r="KRS22" s="101"/>
      <c r="KRT22" s="101"/>
      <c r="KRU22" s="101"/>
      <c r="KRV22" s="101"/>
      <c r="KRW22" s="101"/>
      <c r="KRX22" s="101"/>
      <c r="KRY22" s="101"/>
      <c r="KRZ22" s="101"/>
      <c r="KSA22" s="101"/>
      <c r="KSB22" s="101"/>
      <c r="KSC22" s="101"/>
      <c r="KSD22" s="101"/>
      <c r="KSE22" s="101"/>
      <c r="KSF22" s="101"/>
      <c r="KSG22" s="101"/>
      <c r="KSH22" s="101"/>
      <c r="KSI22" s="101"/>
      <c r="KSJ22" s="101"/>
      <c r="KSK22" s="101"/>
      <c r="KSL22" s="101"/>
      <c r="KSM22" s="101"/>
      <c r="KSN22" s="101"/>
      <c r="KSO22" s="101"/>
      <c r="KSP22" s="101"/>
      <c r="KSQ22" s="101"/>
      <c r="KSR22" s="101"/>
      <c r="KSS22" s="101"/>
      <c r="KST22" s="101"/>
      <c r="KSU22" s="101"/>
      <c r="KSV22" s="101"/>
      <c r="KSW22" s="101"/>
      <c r="KSX22" s="101"/>
      <c r="KSY22" s="101"/>
      <c r="KSZ22" s="101"/>
      <c r="KTA22" s="101"/>
      <c r="KTB22" s="101"/>
      <c r="KTC22" s="101"/>
      <c r="KTD22" s="101"/>
      <c r="KTE22" s="101"/>
      <c r="KTF22" s="101"/>
      <c r="KTG22" s="101"/>
      <c r="KTH22" s="101"/>
      <c r="KTI22" s="101"/>
      <c r="KTJ22" s="101"/>
      <c r="KTK22" s="101"/>
      <c r="KTL22" s="101"/>
      <c r="KTM22" s="101"/>
      <c r="KTN22" s="101"/>
      <c r="KTO22" s="101"/>
      <c r="KTP22" s="101"/>
      <c r="KTQ22" s="101"/>
      <c r="KTR22" s="101"/>
      <c r="KTS22" s="101"/>
      <c r="KTT22" s="101"/>
      <c r="KTU22" s="101"/>
      <c r="KTV22" s="101"/>
      <c r="KTW22" s="101"/>
      <c r="KTX22" s="101"/>
      <c r="KTY22" s="101"/>
      <c r="KTZ22" s="101"/>
      <c r="KUA22" s="101"/>
      <c r="KUB22" s="101"/>
      <c r="KUC22" s="101"/>
      <c r="KUD22" s="101"/>
      <c r="KUE22" s="101"/>
      <c r="KUF22" s="101"/>
      <c r="KUG22" s="101"/>
      <c r="KUH22" s="101"/>
      <c r="KUI22" s="101"/>
      <c r="KUJ22" s="101"/>
      <c r="KUK22" s="101"/>
      <c r="KUL22" s="101"/>
      <c r="KUM22" s="101"/>
      <c r="KUN22" s="101"/>
      <c r="KUO22" s="101"/>
      <c r="KUP22" s="101"/>
      <c r="KUQ22" s="101"/>
      <c r="KUR22" s="101"/>
      <c r="KUS22" s="101"/>
      <c r="KUT22" s="101"/>
      <c r="KUU22" s="101"/>
      <c r="KUV22" s="101"/>
      <c r="KUW22" s="101"/>
      <c r="KUX22" s="101"/>
      <c r="KUY22" s="101"/>
      <c r="KUZ22" s="101"/>
      <c r="KVA22" s="101"/>
      <c r="KVB22" s="101"/>
      <c r="KVC22" s="101"/>
      <c r="KVD22" s="101"/>
      <c r="KVE22" s="101"/>
      <c r="KVF22" s="101"/>
      <c r="KVG22" s="101"/>
      <c r="KVH22" s="101"/>
      <c r="KVI22" s="101"/>
      <c r="KVJ22" s="101"/>
      <c r="KVK22" s="101"/>
      <c r="KVL22" s="101"/>
      <c r="KVM22" s="101"/>
      <c r="KVN22" s="101"/>
      <c r="KVO22" s="101"/>
      <c r="KVP22" s="101"/>
      <c r="KVQ22" s="101"/>
      <c r="KVR22" s="101"/>
      <c r="KVS22" s="101"/>
      <c r="KVT22" s="101"/>
      <c r="KVU22" s="101"/>
      <c r="KVV22" s="101"/>
      <c r="KVW22" s="101"/>
      <c r="KVX22" s="101"/>
      <c r="KVY22" s="101"/>
      <c r="KVZ22" s="101"/>
      <c r="KWA22" s="101"/>
      <c r="KWB22" s="101"/>
      <c r="KWC22" s="101"/>
      <c r="KWD22" s="101"/>
      <c r="KWE22" s="101"/>
      <c r="KWF22" s="101"/>
      <c r="KWG22" s="101"/>
      <c r="KWH22" s="101"/>
      <c r="KWI22" s="101"/>
      <c r="KWJ22" s="101"/>
      <c r="KWK22" s="101"/>
      <c r="KWL22" s="101"/>
      <c r="KWM22" s="101"/>
      <c r="KWN22" s="101"/>
      <c r="KWO22" s="101"/>
      <c r="KWP22" s="101"/>
      <c r="KWQ22" s="101"/>
      <c r="KWR22" s="101"/>
      <c r="KWS22" s="101"/>
      <c r="KWT22" s="101"/>
      <c r="KWU22" s="101"/>
      <c r="KWV22" s="101"/>
      <c r="KWW22" s="101"/>
      <c r="KWX22" s="101"/>
      <c r="KWY22" s="101"/>
      <c r="KWZ22" s="101"/>
      <c r="KXA22" s="101"/>
      <c r="KXB22" s="101"/>
      <c r="KXC22" s="101"/>
      <c r="KXD22" s="101"/>
      <c r="KXE22" s="101"/>
      <c r="KXF22" s="101"/>
      <c r="KXG22" s="101"/>
      <c r="KXH22" s="101"/>
      <c r="KXI22" s="101"/>
      <c r="KXJ22" s="101"/>
      <c r="KXK22" s="101"/>
      <c r="KXL22" s="101"/>
      <c r="KXM22" s="101"/>
      <c r="KXN22" s="101"/>
      <c r="KXO22" s="101"/>
      <c r="KXP22" s="101"/>
      <c r="KXQ22" s="101"/>
      <c r="KXR22" s="101"/>
      <c r="KXS22" s="101"/>
      <c r="KXT22" s="101"/>
      <c r="KXU22" s="101"/>
      <c r="KXV22" s="101"/>
      <c r="KXW22" s="101"/>
      <c r="KXX22" s="101"/>
      <c r="KXY22" s="101"/>
      <c r="KXZ22" s="101"/>
      <c r="KYA22" s="101"/>
      <c r="KYB22" s="101"/>
      <c r="KYC22" s="101"/>
      <c r="KYD22" s="101"/>
      <c r="KYE22" s="101"/>
      <c r="KYF22" s="101"/>
      <c r="KYG22" s="101"/>
      <c r="KYH22" s="101"/>
      <c r="KYI22" s="101"/>
      <c r="KYJ22" s="101"/>
      <c r="KYK22" s="101"/>
      <c r="KYL22" s="101"/>
      <c r="KYM22" s="101"/>
      <c r="KYN22" s="101"/>
      <c r="KYO22" s="101"/>
      <c r="KYP22" s="101"/>
      <c r="KYQ22" s="101"/>
      <c r="KYR22" s="101"/>
      <c r="KYS22" s="101"/>
      <c r="KYT22" s="101"/>
      <c r="KYU22" s="101"/>
      <c r="KYV22" s="101"/>
      <c r="KYW22" s="101"/>
      <c r="KYX22" s="101"/>
      <c r="KYY22" s="101"/>
      <c r="KYZ22" s="101"/>
      <c r="KZA22" s="101"/>
      <c r="KZB22" s="101"/>
      <c r="KZC22" s="101"/>
      <c r="KZD22" s="101"/>
      <c r="KZE22" s="101"/>
      <c r="KZF22" s="101"/>
      <c r="KZG22" s="101"/>
      <c r="KZH22" s="101"/>
      <c r="KZI22" s="101"/>
      <c r="KZJ22" s="101"/>
      <c r="KZK22" s="101"/>
      <c r="KZL22" s="101"/>
      <c r="KZM22" s="101"/>
      <c r="KZN22" s="101"/>
      <c r="KZO22" s="101"/>
      <c r="KZP22" s="101"/>
      <c r="KZQ22" s="101"/>
      <c r="KZR22" s="101"/>
      <c r="KZS22" s="101"/>
      <c r="KZT22" s="101"/>
      <c r="KZU22" s="101"/>
      <c r="KZV22" s="101"/>
      <c r="KZW22" s="101"/>
      <c r="KZX22" s="101"/>
      <c r="KZY22" s="101"/>
      <c r="KZZ22" s="101"/>
      <c r="LAA22" s="101"/>
      <c r="LAB22" s="101"/>
      <c r="LAC22" s="101"/>
      <c r="LAD22" s="101"/>
      <c r="LAE22" s="101"/>
      <c r="LAF22" s="101"/>
      <c r="LAG22" s="101"/>
      <c r="LAH22" s="101"/>
      <c r="LAI22" s="101"/>
      <c r="LAJ22" s="101"/>
      <c r="LAK22" s="101"/>
      <c r="LAL22" s="101"/>
      <c r="LAM22" s="101"/>
      <c r="LAN22" s="101"/>
      <c r="LAO22" s="101"/>
      <c r="LAP22" s="101"/>
      <c r="LAQ22" s="101"/>
      <c r="LAR22" s="101"/>
      <c r="LAS22" s="101"/>
      <c r="LAT22" s="101"/>
      <c r="LAU22" s="101"/>
      <c r="LAV22" s="101"/>
      <c r="LAW22" s="101"/>
      <c r="LAX22" s="101"/>
      <c r="LAY22" s="101"/>
      <c r="LAZ22" s="101"/>
      <c r="LBA22" s="101"/>
      <c r="LBB22" s="101"/>
      <c r="LBC22" s="101"/>
      <c r="LBD22" s="101"/>
      <c r="LBE22" s="101"/>
      <c r="LBF22" s="101"/>
      <c r="LBG22" s="101"/>
      <c r="LBH22" s="101"/>
      <c r="LBI22" s="101"/>
      <c r="LBJ22" s="101"/>
      <c r="LBK22" s="101"/>
      <c r="LBL22" s="101"/>
      <c r="LBM22" s="101"/>
      <c r="LBN22" s="101"/>
      <c r="LBO22" s="101"/>
      <c r="LBP22" s="101"/>
      <c r="LBQ22" s="101"/>
      <c r="LBR22" s="101"/>
      <c r="LBS22" s="101"/>
      <c r="LBT22" s="101"/>
      <c r="LBU22" s="101"/>
      <c r="LBV22" s="101"/>
      <c r="LBW22" s="101"/>
      <c r="LBX22" s="101"/>
      <c r="LBY22" s="101"/>
      <c r="LBZ22" s="101"/>
      <c r="LCA22" s="101"/>
      <c r="LCB22" s="101"/>
      <c r="LCC22" s="101"/>
      <c r="LCD22" s="101"/>
      <c r="LCE22" s="101"/>
      <c r="LCF22" s="101"/>
      <c r="LCG22" s="101"/>
      <c r="LCH22" s="101"/>
      <c r="LCI22" s="101"/>
      <c r="LCJ22" s="101"/>
      <c r="LCK22" s="101"/>
      <c r="LCL22" s="101"/>
      <c r="LCM22" s="101"/>
      <c r="LCN22" s="101"/>
      <c r="LCO22" s="101"/>
      <c r="LCP22" s="101"/>
      <c r="LCQ22" s="101"/>
      <c r="LCR22" s="101"/>
      <c r="LCS22" s="101"/>
      <c r="LCT22" s="101"/>
      <c r="LCU22" s="101"/>
      <c r="LCV22" s="101"/>
      <c r="LCW22" s="101"/>
      <c r="LCX22" s="101"/>
      <c r="LCY22" s="101"/>
      <c r="LCZ22" s="101"/>
      <c r="LDA22" s="101"/>
      <c r="LDB22" s="101"/>
      <c r="LDC22" s="101"/>
      <c r="LDD22" s="101"/>
      <c r="LDE22" s="101"/>
      <c r="LDF22" s="101"/>
      <c r="LDG22" s="101"/>
      <c r="LDH22" s="101"/>
      <c r="LDI22" s="101"/>
      <c r="LDJ22" s="101"/>
      <c r="LDK22" s="101"/>
      <c r="LDL22" s="101"/>
      <c r="LDM22" s="101"/>
      <c r="LDN22" s="101"/>
      <c r="LDO22" s="101"/>
      <c r="LDP22" s="101"/>
      <c r="LDQ22" s="101"/>
      <c r="LDR22" s="101"/>
      <c r="LDS22" s="101"/>
      <c r="LDT22" s="101"/>
      <c r="LDU22" s="101"/>
      <c r="LDV22" s="101"/>
      <c r="LDW22" s="101"/>
      <c r="LDX22" s="101"/>
      <c r="LDY22" s="101"/>
      <c r="LDZ22" s="101"/>
      <c r="LEA22" s="101"/>
      <c r="LEB22" s="101"/>
      <c r="LEC22" s="101"/>
      <c r="LED22" s="101"/>
      <c r="LEE22" s="101"/>
      <c r="LEF22" s="101"/>
      <c r="LEG22" s="101"/>
      <c r="LEH22" s="101"/>
      <c r="LEI22" s="101"/>
      <c r="LEJ22" s="101"/>
      <c r="LEK22" s="101"/>
      <c r="LEL22" s="101"/>
      <c r="LEM22" s="101"/>
      <c r="LEN22" s="101"/>
      <c r="LEO22" s="101"/>
      <c r="LEP22" s="101"/>
      <c r="LEQ22" s="101"/>
      <c r="LER22" s="101"/>
      <c r="LES22" s="101"/>
      <c r="LET22" s="101"/>
      <c r="LEU22" s="101"/>
      <c r="LEV22" s="101"/>
      <c r="LEW22" s="101"/>
      <c r="LEX22" s="101"/>
      <c r="LEY22" s="101"/>
      <c r="LEZ22" s="101"/>
      <c r="LFA22" s="101"/>
      <c r="LFB22" s="101"/>
      <c r="LFC22" s="101"/>
      <c r="LFD22" s="101"/>
      <c r="LFE22" s="101"/>
      <c r="LFF22" s="101"/>
      <c r="LFG22" s="101"/>
      <c r="LFH22" s="101"/>
      <c r="LFI22" s="101"/>
      <c r="LFJ22" s="101"/>
      <c r="LFK22" s="101"/>
      <c r="LFL22" s="101"/>
      <c r="LFM22" s="101"/>
      <c r="LFN22" s="101"/>
      <c r="LFO22" s="101"/>
      <c r="LFP22" s="101"/>
      <c r="LFQ22" s="101"/>
      <c r="LFR22" s="101"/>
      <c r="LFS22" s="101"/>
      <c r="LFT22" s="101"/>
      <c r="LFU22" s="101"/>
      <c r="LFV22" s="101"/>
      <c r="LFW22" s="101"/>
      <c r="LFX22" s="101"/>
      <c r="LFY22" s="101"/>
      <c r="LFZ22" s="101"/>
      <c r="LGA22" s="101"/>
      <c r="LGB22" s="101"/>
      <c r="LGC22" s="101"/>
      <c r="LGD22" s="101"/>
      <c r="LGE22" s="101"/>
      <c r="LGF22" s="101"/>
      <c r="LGG22" s="101"/>
      <c r="LGH22" s="101"/>
      <c r="LGI22" s="101"/>
      <c r="LGJ22" s="101"/>
      <c r="LGK22" s="101"/>
      <c r="LGL22" s="101"/>
      <c r="LGM22" s="101"/>
      <c r="LGN22" s="101"/>
      <c r="LGO22" s="101"/>
      <c r="LGP22" s="101"/>
      <c r="LGQ22" s="101"/>
      <c r="LGR22" s="101"/>
      <c r="LGS22" s="101"/>
      <c r="LGT22" s="101"/>
      <c r="LGU22" s="101"/>
      <c r="LGV22" s="101"/>
      <c r="LGW22" s="101"/>
      <c r="LGX22" s="101"/>
      <c r="LGY22" s="101"/>
      <c r="LGZ22" s="101"/>
      <c r="LHA22" s="101"/>
      <c r="LHB22" s="101"/>
      <c r="LHC22" s="101"/>
      <c r="LHD22" s="101"/>
      <c r="LHE22" s="101"/>
      <c r="LHF22" s="101"/>
      <c r="LHG22" s="101"/>
      <c r="LHH22" s="101"/>
      <c r="LHI22" s="101"/>
      <c r="LHJ22" s="101"/>
      <c r="LHK22" s="101"/>
      <c r="LHL22" s="101"/>
      <c r="LHM22" s="101"/>
      <c r="LHN22" s="101"/>
      <c r="LHO22" s="101"/>
      <c r="LHP22" s="101"/>
      <c r="LHQ22" s="101"/>
      <c r="LHR22" s="101"/>
      <c r="LHS22" s="101"/>
      <c r="LHT22" s="101"/>
      <c r="LHU22" s="101"/>
      <c r="LHV22" s="101"/>
      <c r="LHW22" s="101"/>
      <c r="LHX22" s="101"/>
      <c r="LHY22" s="101"/>
      <c r="LHZ22" s="101"/>
      <c r="LIA22" s="101"/>
      <c r="LIB22" s="101"/>
      <c r="LIC22" s="101"/>
      <c r="LID22" s="101"/>
      <c r="LIE22" s="101"/>
      <c r="LIF22" s="101"/>
      <c r="LIG22" s="101"/>
      <c r="LIH22" s="101"/>
      <c r="LII22" s="101"/>
      <c r="LIJ22" s="101"/>
      <c r="LIK22" s="101"/>
      <c r="LIL22" s="101"/>
      <c r="LIM22" s="101"/>
      <c r="LIN22" s="101"/>
      <c r="LIO22" s="101"/>
      <c r="LIP22" s="101"/>
      <c r="LIQ22" s="101"/>
      <c r="LIR22" s="101"/>
      <c r="LIS22" s="101"/>
      <c r="LIT22" s="101"/>
      <c r="LIU22" s="101"/>
      <c r="LIV22" s="101"/>
      <c r="LIW22" s="101"/>
      <c r="LIX22" s="101"/>
      <c r="LIY22" s="101"/>
      <c r="LIZ22" s="101"/>
      <c r="LJA22" s="101"/>
      <c r="LJB22" s="101"/>
      <c r="LJC22" s="101"/>
      <c r="LJD22" s="101"/>
      <c r="LJE22" s="101"/>
      <c r="LJF22" s="101"/>
      <c r="LJG22" s="101"/>
      <c r="LJH22" s="101"/>
      <c r="LJI22" s="101"/>
      <c r="LJJ22" s="101"/>
      <c r="LJK22" s="101"/>
      <c r="LJL22" s="101"/>
      <c r="LJM22" s="101"/>
      <c r="LJN22" s="101"/>
      <c r="LJO22" s="101"/>
      <c r="LJP22" s="101"/>
      <c r="LJQ22" s="101"/>
      <c r="LJR22" s="101"/>
      <c r="LJS22" s="101"/>
      <c r="LJT22" s="101"/>
      <c r="LJU22" s="101"/>
      <c r="LJV22" s="101"/>
      <c r="LJW22" s="101"/>
      <c r="LJX22" s="101"/>
      <c r="LJY22" s="101"/>
      <c r="LJZ22" s="101"/>
      <c r="LKA22" s="101"/>
      <c r="LKB22" s="101"/>
      <c r="LKC22" s="101"/>
      <c r="LKD22" s="101"/>
      <c r="LKE22" s="101"/>
      <c r="LKF22" s="101"/>
      <c r="LKG22" s="101"/>
      <c r="LKH22" s="101"/>
      <c r="LKI22" s="101"/>
      <c r="LKJ22" s="101"/>
      <c r="LKK22" s="101"/>
      <c r="LKL22" s="101"/>
      <c r="LKM22" s="101"/>
      <c r="LKN22" s="101"/>
      <c r="LKO22" s="101"/>
      <c r="LKP22" s="101"/>
      <c r="LKQ22" s="101"/>
      <c r="LKR22" s="101"/>
      <c r="LKS22" s="101"/>
      <c r="LKT22" s="101"/>
      <c r="LKU22" s="101"/>
      <c r="LKV22" s="101"/>
      <c r="LKW22" s="101"/>
      <c r="LKX22" s="101"/>
      <c r="LKY22" s="101"/>
      <c r="LKZ22" s="101"/>
      <c r="LLA22" s="101"/>
      <c r="LLB22" s="101"/>
      <c r="LLC22" s="101"/>
      <c r="LLD22" s="101"/>
      <c r="LLE22" s="101"/>
      <c r="LLF22" s="101"/>
      <c r="LLG22" s="101"/>
      <c r="LLH22" s="101"/>
      <c r="LLI22" s="101"/>
      <c r="LLJ22" s="101"/>
      <c r="LLK22" s="101"/>
      <c r="LLL22" s="101"/>
      <c r="LLM22" s="101"/>
      <c r="LLN22" s="101"/>
      <c r="LLO22" s="101"/>
      <c r="LLP22" s="101"/>
      <c r="LLQ22" s="101"/>
      <c r="LLR22" s="101"/>
      <c r="LLS22" s="101"/>
      <c r="LLT22" s="101"/>
      <c r="LLU22" s="101"/>
      <c r="LLV22" s="101"/>
      <c r="LLW22" s="101"/>
      <c r="LLX22" s="101"/>
      <c r="LLY22" s="101"/>
      <c r="LLZ22" s="101"/>
      <c r="LMA22" s="101"/>
      <c r="LMB22" s="101"/>
      <c r="LMC22" s="101"/>
      <c r="LMD22" s="101"/>
      <c r="LME22" s="101"/>
      <c r="LMF22" s="101"/>
      <c r="LMG22" s="101"/>
      <c r="LMH22" s="101"/>
      <c r="LMI22" s="101"/>
      <c r="LMJ22" s="101"/>
      <c r="LMK22" s="101"/>
      <c r="LML22" s="101"/>
      <c r="LMM22" s="101"/>
      <c r="LMN22" s="101"/>
      <c r="LMO22" s="101"/>
      <c r="LMP22" s="101"/>
      <c r="LMQ22" s="101"/>
      <c r="LMR22" s="101"/>
      <c r="LMS22" s="101"/>
      <c r="LMT22" s="101"/>
      <c r="LMU22" s="101"/>
      <c r="LMV22" s="101"/>
      <c r="LMW22" s="101"/>
      <c r="LMX22" s="101"/>
      <c r="LMY22" s="101"/>
      <c r="LMZ22" s="101"/>
      <c r="LNA22" s="101"/>
      <c r="LNB22" s="101"/>
      <c r="LNC22" s="101"/>
      <c r="LND22" s="101"/>
      <c r="LNE22" s="101"/>
      <c r="LNF22" s="101"/>
      <c r="LNG22" s="101"/>
      <c r="LNH22" s="101"/>
      <c r="LNI22" s="101"/>
      <c r="LNJ22" s="101"/>
      <c r="LNK22" s="101"/>
      <c r="LNL22" s="101"/>
      <c r="LNM22" s="101"/>
      <c r="LNN22" s="101"/>
      <c r="LNO22" s="101"/>
      <c r="LNP22" s="101"/>
      <c r="LNQ22" s="101"/>
      <c r="LNR22" s="101"/>
      <c r="LNS22" s="101"/>
      <c r="LNT22" s="101"/>
      <c r="LNU22" s="101"/>
      <c r="LNV22" s="101"/>
      <c r="LNW22" s="101"/>
      <c r="LNX22" s="101"/>
      <c r="LNY22" s="101"/>
      <c r="LNZ22" s="101"/>
      <c r="LOA22" s="101"/>
      <c r="LOB22" s="101"/>
      <c r="LOC22" s="101"/>
      <c r="LOD22" s="101"/>
      <c r="LOE22" s="101"/>
      <c r="LOF22" s="101"/>
      <c r="LOG22" s="101"/>
      <c r="LOH22" s="101"/>
      <c r="LOI22" s="101"/>
      <c r="LOJ22" s="101"/>
      <c r="LOK22" s="101"/>
      <c r="LOL22" s="101"/>
      <c r="LOM22" s="101"/>
      <c r="LON22" s="101"/>
      <c r="LOO22" s="101"/>
      <c r="LOP22" s="101"/>
      <c r="LOQ22" s="101"/>
      <c r="LOR22" s="101"/>
      <c r="LOS22" s="101"/>
      <c r="LOT22" s="101"/>
      <c r="LOU22" s="101"/>
      <c r="LOV22" s="101"/>
      <c r="LOW22" s="101"/>
      <c r="LOX22" s="101"/>
      <c r="LOY22" s="101"/>
      <c r="LOZ22" s="101"/>
      <c r="LPA22" s="101"/>
      <c r="LPB22" s="101"/>
      <c r="LPC22" s="101"/>
      <c r="LPD22" s="101"/>
      <c r="LPE22" s="101"/>
      <c r="LPF22" s="101"/>
      <c r="LPG22" s="101"/>
      <c r="LPH22" s="101"/>
      <c r="LPI22" s="101"/>
      <c r="LPJ22" s="101"/>
      <c r="LPK22" s="101"/>
      <c r="LPL22" s="101"/>
      <c r="LPM22" s="101"/>
      <c r="LPN22" s="101"/>
      <c r="LPO22" s="101"/>
      <c r="LPP22" s="101"/>
      <c r="LPQ22" s="101"/>
      <c r="LPR22" s="101"/>
      <c r="LPS22" s="101"/>
      <c r="LPT22" s="101"/>
      <c r="LPU22" s="101"/>
      <c r="LPV22" s="101"/>
      <c r="LPW22" s="101"/>
      <c r="LPX22" s="101"/>
      <c r="LPY22" s="101"/>
      <c r="LPZ22" s="101"/>
      <c r="LQA22" s="101"/>
      <c r="LQB22" s="101"/>
      <c r="LQC22" s="101"/>
      <c r="LQD22" s="101"/>
      <c r="LQE22" s="101"/>
      <c r="LQF22" s="101"/>
      <c r="LQG22" s="101"/>
      <c r="LQH22" s="101"/>
      <c r="LQI22" s="101"/>
      <c r="LQJ22" s="101"/>
      <c r="LQK22" s="101"/>
      <c r="LQL22" s="101"/>
      <c r="LQM22" s="101"/>
      <c r="LQN22" s="101"/>
      <c r="LQO22" s="101"/>
      <c r="LQP22" s="101"/>
      <c r="LQQ22" s="101"/>
      <c r="LQR22" s="101"/>
      <c r="LQS22" s="101"/>
      <c r="LQT22" s="101"/>
      <c r="LQU22" s="101"/>
      <c r="LQV22" s="101"/>
      <c r="LQW22" s="101"/>
      <c r="LQX22" s="101"/>
      <c r="LQY22" s="101"/>
      <c r="LQZ22" s="101"/>
      <c r="LRA22" s="101"/>
      <c r="LRB22" s="101"/>
      <c r="LRC22" s="101"/>
      <c r="LRD22" s="101"/>
      <c r="LRE22" s="101"/>
      <c r="LRF22" s="101"/>
      <c r="LRG22" s="101"/>
      <c r="LRH22" s="101"/>
      <c r="LRI22" s="101"/>
      <c r="LRJ22" s="101"/>
      <c r="LRK22" s="101"/>
      <c r="LRL22" s="101"/>
      <c r="LRM22" s="101"/>
      <c r="LRN22" s="101"/>
      <c r="LRO22" s="101"/>
      <c r="LRP22" s="101"/>
      <c r="LRQ22" s="101"/>
      <c r="LRR22" s="101"/>
      <c r="LRS22" s="101"/>
      <c r="LRT22" s="101"/>
      <c r="LRU22" s="101"/>
      <c r="LRV22" s="101"/>
      <c r="LRW22" s="101"/>
      <c r="LRX22" s="101"/>
      <c r="LRY22" s="101"/>
      <c r="LRZ22" s="101"/>
      <c r="LSA22" s="101"/>
      <c r="LSB22" s="101"/>
      <c r="LSC22" s="101"/>
      <c r="LSD22" s="101"/>
      <c r="LSE22" s="101"/>
      <c r="LSF22" s="101"/>
      <c r="LSG22" s="101"/>
      <c r="LSH22" s="101"/>
      <c r="LSI22" s="101"/>
      <c r="LSJ22" s="101"/>
      <c r="LSK22" s="101"/>
      <c r="LSL22" s="101"/>
      <c r="LSM22" s="101"/>
      <c r="LSN22" s="101"/>
      <c r="LSO22" s="101"/>
      <c r="LSP22" s="101"/>
      <c r="LSQ22" s="101"/>
      <c r="LSR22" s="101"/>
      <c r="LSS22" s="101"/>
      <c r="LST22" s="101"/>
      <c r="LSU22" s="101"/>
      <c r="LSV22" s="101"/>
      <c r="LSW22" s="101"/>
      <c r="LSX22" s="101"/>
      <c r="LSY22" s="101"/>
      <c r="LSZ22" s="101"/>
      <c r="LTA22" s="101"/>
      <c r="LTB22" s="101"/>
      <c r="LTC22" s="101"/>
      <c r="LTD22" s="101"/>
      <c r="LTE22" s="101"/>
      <c r="LTF22" s="101"/>
      <c r="LTG22" s="101"/>
      <c r="LTH22" s="101"/>
      <c r="LTI22" s="101"/>
      <c r="LTJ22" s="101"/>
      <c r="LTK22" s="101"/>
      <c r="LTL22" s="101"/>
      <c r="LTM22" s="101"/>
      <c r="LTN22" s="101"/>
      <c r="LTO22" s="101"/>
      <c r="LTP22" s="101"/>
      <c r="LTQ22" s="101"/>
      <c r="LTR22" s="101"/>
      <c r="LTS22" s="101"/>
      <c r="LTT22" s="101"/>
      <c r="LTU22" s="101"/>
      <c r="LTV22" s="101"/>
      <c r="LTW22" s="101"/>
      <c r="LTX22" s="101"/>
      <c r="LTY22" s="101"/>
      <c r="LTZ22" s="101"/>
      <c r="LUA22" s="101"/>
      <c r="LUB22" s="101"/>
      <c r="LUC22" s="101"/>
      <c r="LUD22" s="101"/>
      <c r="LUE22" s="101"/>
      <c r="LUF22" s="101"/>
      <c r="LUG22" s="101"/>
      <c r="LUH22" s="101"/>
      <c r="LUI22" s="101"/>
      <c r="LUJ22" s="101"/>
      <c r="LUK22" s="101"/>
      <c r="LUL22" s="101"/>
      <c r="LUM22" s="101"/>
      <c r="LUN22" s="101"/>
      <c r="LUO22" s="101"/>
      <c r="LUP22" s="101"/>
      <c r="LUQ22" s="101"/>
      <c r="LUR22" s="101"/>
      <c r="LUS22" s="101"/>
      <c r="LUT22" s="101"/>
      <c r="LUU22" s="101"/>
      <c r="LUV22" s="101"/>
      <c r="LUW22" s="101"/>
      <c r="LUX22" s="101"/>
      <c r="LUY22" s="101"/>
      <c r="LUZ22" s="101"/>
      <c r="LVA22" s="101"/>
      <c r="LVB22" s="101"/>
      <c r="LVC22" s="101"/>
      <c r="LVD22" s="101"/>
      <c r="LVE22" s="101"/>
      <c r="LVF22" s="101"/>
      <c r="LVG22" s="101"/>
      <c r="LVH22" s="101"/>
      <c r="LVI22" s="101"/>
      <c r="LVJ22" s="101"/>
      <c r="LVK22" s="101"/>
      <c r="LVL22" s="101"/>
      <c r="LVM22" s="101"/>
      <c r="LVN22" s="101"/>
      <c r="LVO22" s="101"/>
      <c r="LVP22" s="101"/>
      <c r="LVQ22" s="101"/>
      <c r="LVR22" s="101"/>
      <c r="LVS22" s="101"/>
      <c r="LVT22" s="101"/>
      <c r="LVU22" s="101"/>
      <c r="LVV22" s="101"/>
      <c r="LVW22" s="101"/>
      <c r="LVX22" s="101"/>
      <c r="LVY22" s="101"/>
      <c r="LVZ22" s="101"/>
      <c r="LWA22" s="101"/>
      <c r="LWB22" s="101"/>
      <c r="LWC22" s="101"/>
      <c r="LWD22" s="101"/>
      <c r="LWE22" s="101"/>
      <c r="LWF22" s="101"/>
      <c r="LWG22" s="101"/>
      <c r="LWH22" s="101"/>
      <c r="LWI22" s="101"/>
      <c r="LWJ22" s="101"/>
      <c r="LWK22" s="101"/>
      <c r="LWL22" s="101"/>
      <c r="LWM22" s="101"/>
      <c r="LWN22" s="101"/>
      <c r="LWO22" s="101"/>
      <c r="LWP22" s="101"/>
      <c r="LWQ22" s="101"/>
      <c r="LWR22" s="101"/>
      <c r="LWS22" s="101"/>
      <c r="LWT22" s="101"/>
      <c r="LWU22" s="101"/>
      <c r="LWV22" s="101"/>
      <c r="LWW22" s="101"/>
      <c r="LWX22" s="101"/>
      <c r="LWY22" s="101"/>
      <c r="LWZ22" s="101"/>
      <c r="LXA22" s="101"/>
      <c r="LXB22" s="101"/>
      <c r="LXC22" s="101"/>
      <c r="LXD22" s="101"/>
      <c r="LXE22" s="101"/>
      <c r="LXF22" s="101"/>
      <c r="LXG22" s="101"/>
      <c r="LXH22" s="101"/>
      <c r="LXI22" s="101"/>
      <c r="LXJ22" s="101"/>
      <c r="LXK22" s="101"/>
      <c r="LXL22" s="101"/>
      <c r="LXM22" s="101"/>
      <c r="LXN22" s="101"/>
      <c r="LXO22" s="101"/>
      <c r="LXP22" s="101"/>
      <c r="LXQ22" s="101"/>
      <c r="LXR22" s="101"/>
      <c r="LXS22" s="101"/>
      <c r="LXT22" s="101"/>
      <c r="LXU22" s="101"/>
      <c r="LXV22" s="101"/>
      <c r="LXW22" s="101"/>
      <c r="LXX22" s="101"/>
      <c r="LXY22" s="101"/>
      <c r="LXZ22" s="101"/>
      <c r="LYA22" s="101"/>
      <c r="LYB22" s="101"/>
      <c r="LYC22" s="101"/>
      <c r="LYD22" s="101"/>
      <c r="LYE22" s="101"/>
      <c r="LYF22" s="101"/>
      <c r="LYG22" s="101"/>
      <c r="LYH22" s="101"/>
      <c r="LYI22" s="101"/>
      <c r="LYJ22" s="101"/>
      <c r="LYK22" s="101"/>
      <c r="LYL22" s="101"/>
      <c r="LYM22" s="101"/>
      <c r="LYN22" s="101"/>
      <c r="LYO22" s="101"/>
      <c r="LYP22" s="101"/>
      <c r="LYQ22" s="101"/>
      <c r="LYR22" s="101"/>
      <c r="LYS22" s="101"/>
      <c r="LYT22" s="101"/>
      <c r="LYU22" s="101"/>
      <c r="LYV22" s="101"/>
      <c r="LYW22" s="101"/>
      <c r="LYX22" s="101"/>
      <c r="LYY22" s="101"/>
      <c r="LYZ22" s="101"/>
      <c r="LZA22" s="101"/>
      <c r="LZB22" s="101"/>
      <c r="LZC22" s="101"/>
      <c r="LZD22" s="101"/>
      <c r="LZE22" s="101"/>
      <c r="LZF22" s="101"/>
      <c r="LZG22" s="101"/>
      <c r="LZH22" s="101"/>
      <c r="LZI22" s="101"/>
      <c r="LZJ22" s="101"/>
      <c r="LZK22" s="101"/>
      <c r="LZL22" s="101"/>
      <c r="LZM22" s="101"/>
      <c r="LZN22" s="101"/>
      <c r="LZO22" s="101"/>
      <c r="LZP22" s="101"/>
      <c r="LZQ22" s="101"/>
      <c r="LZR22" s="101"/>
      <c r="LZS22" s="101"/>
      <c r="LZT22" s="101"/>
      <c r="LZU22" s="101"/>
      <c r="LZV22" s="101"/>
      <c r="LZW22" s="101"/>
      <c r="LZX22" s="101"/>
      <c r="LZY22" s="101"/>
      <c r="LZZ22" s="101"/>
      <c r="MAA22" s="101"/>
      <c r="MAB22" s="101"/>
      <c r="MAC22" s="101"/>
      <c r="MAD22" s="101"/>
      <c r="MAE22" s="101"/>
      <c r="MAF22" s="101"/>
      <c r="MAG22" s="101"/>
      <c r="MAH22" s="101"/>
      <c r="MAI22" s="101"/>
      <c r="MAJ22" s="101"/>
      <c r="MAK22" s="101"/>
      <c r="MAL22" s="101"/>
      <c r="MAM22" s="101"/>
      <c r="MAN22" s="101"/>
      <c r="MAO22" s="101"/>
      <c r="MAP22" s="101"/>
      <c r="MAQ22" s="101"/>
      <c r="MAR22" s="101"/>
      <c r="MAS22" s="101"/>
      <c r="MAT22" s="101"/>
      <c r="MAU22" s="101"/>
      <c r="MAV22" s="101"/>
      <c r="MAW22" s="101"/>
      <c r="MAX22" s="101"/>
      <c r="MAY22" s="101"/>
      <c r="MAZ22" s="101"/>
      <c r="MBA22" s="101"/>
      <c r="MBB22" s="101"/>
      <c r="MBC22" s="101"/>
      <c r="MBD22" s="101"/>
      <c r="MBE22" s="101"/>
      <c r="MBF22" s="101"/>
      <c r="MBG22" s="101"/>
      <c r="MBH22" s="101"/>
      <c r="MBI22" s="101"/>
      <c r="MBJ22" s="101"/>
      <c r="MBK22" s="101"/>
      <c r="MBL22" s="101"/>
      <c r="MBM22" s="101"/>
      <c r="MBN22" s="101"/>
      <c r="MBO22" s="101"/>
      <c r="MBP22" s="101"/>
      <c r="MBQ22" s="101"/>
      <c r="MBR22" s="101"/>
      <c r="MBS22" s="101"/>
      <c r="MBT22" s="101"/>
      <c r="MBU22" s="101"/>
      <c r="MBV22" s="101"/>
      <c r="MBW22" s="101"/>
      <c r="MBX22" s="101"/>
      <c r="MBY22" s="101"/>
      <c r="MBZ22" s="101"/>
      <c r="MCA22" s="101"/>
      <c r="MCB22" s="101"/>
      <c r="MCC22" s="101"/>
      <c r="MCD22" s="101"/>
      <c r="MCE22" s="101"/>
      <c r="MCF22" s="101"/>
      <c r="MCG22" s="101"/>
      <c r="MCH22" s="101"/>
      <c r="MCI22" s="101"/>
      <c r="MCJ22" s="101"/>
      <c r="MCK22" s="101"/>
      <c r="MCL22" s="101"/>
      <c r="MCM22" s="101"/>
      <c r="MCN22" s="101"/>
      <c r="MCO22" s="101"/>
      <c r="MCP22" s="101"/>
      <c r="MCQ22" s="101"/>
      <c r="MCR22" s="101"/>
      <c r="MCS22" s="101"/>
      <c r="MCT22" s="101"/>
      <c r="MCU22" s="101"/>
      <c r="MCV22" s="101"/>
      <c r="MCW22" s="101"/>
      <c r="MCX22" s="101"/>
      <c r="MCY22" s="101"/>
      <c r="MCZ22" s="101"/>
      <c r="MDA22" s="101"/>
      <c r="MDB22" s="101"/>
      <c r="MDC22" s="101"/>
      <c r="MDD22" s="101"/>
      <c r="MDE22" s="101"/>
      <c r="MDF22" s="101"/>
      <c r="MDG22" s="101"/>
      <c r="MDH22" s="101"/>
      <c r="MDI22" s="101"/>
      <c r="MDJ22" s="101"/>
      <c r="MDK22" s="101"/>
      <c r="MDL22" s="101"/>
      <c r="MDM22" s="101"/>
      <c r="MDN22" s="101"/>
      <c r="MDO22" s="101"/>
      <c r="MDP22" s="101"/>
      <c r="MDQ22" s="101"/>
      <c r="MDR22" s="101"/>
      <c r="MDS22" s="101"/>
      <c r="MDT22" s="101"/>
      <c r="MDU22" s="101"/>
      <c r="MDV22" s="101"/>
      <c r="MDW22" s="101"/>
      <c r="MDX22" s="101"/>
      <c r="MDY22" s="101"/>
      <c r="MDZ22" s="101"/>
      <c r="MEA22" s="101"/>
      <c r="MEB22" s="101"/>
      <c r="MEC22" s="101"/>
      <c r="MED22" s="101"/>
      <c r="MEE22" s="101"/>
      <c r="MEF22" s="101"/>
      <c r="MEG22" s="101"/>
      <c r="MEH22" s="101"/>
      <c r="MEI22" s="101"/>
      <c r="MEJ22" s="101"/>
      <c r="MEK22" s="101"/>
      <c r="MEL22" s="101"/>
      <c r="MEM22" s="101"/>
      <c r="MEN22" s="101"/>
      <c r="MEO22" s="101"/>
      <c r="MEP22" s="101"/>
      <c r="MEQ22" s="101"/>
      <c r="MER22" s="101"/>
      <c r="MES22" s="101"/>
      <c r="MET22" s="101"/>
      <c r="MEU22" s="101"/>
      <c r="MEV22" s="101"/>
      <c r="MEW22" s="101"/>
      <c r="MEX22" s="101"/>
      <c r="MEY22" s="101"/>
      <c r="MEZ22" s="101"/>
      <c r="MFA22" s="101"/>
      <c r="MFB22" s="101"/>
      <c r="MFC22" s="101"/>
      <c r="MFD22" s="101"/>
      <c r="MFE22" s="101"/>
      <c r="MFF22" s="101"/>
      <c r="MFG22" s="101"/>
      <c r="MFH22" s="101"/>
      <c r="MFI22" s="101"/>
      <c r="MFJ22" s="101"/>
      <c r="MFK22" s="101"/>
      <c r="MFL22" s="101"/>
      <c r="MFM22" s="101"/>
      <c r="MFN22" s="101"/>
      <c r="MFO22" s="101"/>
      <c r="MFP22" s="101"/>
      <c r="MFQ22" s="101"/>
      <c r="MFR22" s="101"/>
      <c r="MFS22" s="101"/>
      <c r="MFT22" s="101"/>
      <c r="MFU22" s="101"/>
      <c r="MFV22" s="101"/>
      <c r="MFW22" s="101"/>
      <c r="MFX22" s="101"/>
      <c r="MFY22" s="101"/>
      <c r="MFZ22" s="101"/>
      <c r="MGA22" s="101"/>
      <c r="MGB22" s="101"/>
      <c r="MGC22" s="101"/>
      <c r="MGD22" s="101"/>
      <c r="MGE22" s="101"/>
      <c r="MGF22" s="101"/>
      <c r="MGG22" s="101"/>
      <c r="MGH22" s="101"/>
      <c r="MGI22" s="101"/>
      <c r="MGJ22" s="101"/>
      <c r="MGK22" s="101"/>
      <c r="MGL22" s="101"/>
      <c r="MGM22" s="101"/>
      <c r="MGN22" s="101"/>
      <c r="MGO22" s="101"/>
      <c r="MGP22" s="101"/>
      <c r="MGQ22" s="101"/>
      <c r="MGR22" s="101"/>
      <c r="MGS22" s="101"/>
      <c r="MGT22" s="101"/>
      <c r="MGU22" s="101"/>
      <c r="MGV22" s="101"/>
      <c r="MGW22" s="101"/>
      <c r="MGX22" s="101"/>
      <c r="MGY22" s="101"/>
      <c r="MGZ22" s="101"/>
      <c r="MHA22" s="101"/>
      <c r="MHB22" s="101"/>
      <c r="MHC22" s="101"/>
      <c r="MHD22" s="101"/>
      <c r="MHE22" s="101"/>
      <c r="MHF22" s="101"/>
      <c r="MHG22" s="101"/>
      <c r="MHH22" s="101"/>
      <c r="MHI22" s="101"/>
      <c r="MHJ22" s="101"/>
      <c r="MHK22" s="101"/>
      <c r="MHL22" s="101"/>
      <c r="MHM22" s="101"/>
      <c r="MHN22" s="101"/>
      <c r="MHO22" s="101"/>
      <c r="MHP22" s="101"/>
      <c r="MHQ22" s="101"/>
      <c r="MHR22" s="101"/>
      <c r="MHS22" s="101"/>
      <c r="MHT22" s="101"/>
      <c r="MHU22" s="101"/>
      <c r="MHV22" s="101"/>
      <c r="MHW22" s="101"/>
      <c r="MHX22" s="101"/>
      <c r="MHY22" s="101"/>
      <c r="MHZ22" s="101"/>
      <c r="MIA22" s="101"/>
      <c r="MIB22" s="101"/>
      <c r="MIC22" s="101"/>
      <c r="MID22" s="101"/>
      <c r="MIE22" s="101"/>
      <c r="MIF22" s="101"/>
      <c r="MIG22" s="101"/>
      <c r="MIH22" s="101"/>
      <c r="MII22" s="101"/>
      <c r="MIJ22" s="101"/>
      <c r="MIK22" s="101"/>
      <c r="MIL22" s="101"/>
      <c r="MIM22" s="101"/>
      <c r="MIN22" s="101"/>
      <c r="MIO22" s="101"/>
      <c r="MIP22" s="101"/>
      <c r="MIQ22" s="101"/>
      <c r="MIR22" s="101"/>
      <c r="MIS22" s="101"/>
      <c r="MIT22" s="101"/>
      <c r="MIU22" s="101"/>
      <c r="MIV22" s="101"/>
      <c r="MIW22" s="101"/>
      <c r="MIX22" s="101"/>
      <c r="MIY22" s="101"/>
      <c r="MIZ22" s="101"/>
      <c r="MJA22" s="101"/>
      <c r="MJB22" s="101"/>
      <c r="MJC22" s="101"/>
      <c r="MJD22" s="101"/>
      <c r="MJE22" s="101"/>
      <c r="MJF22" s="101"/>
      <c r="MJG22" s="101"/>
      <c r="MJH22" s="101"/>
      <c r="MJI22" s="101"/>
      <c r="MJJ22" s="101"/>
      <c r="MJK22" s="101"/>
      <c r="MJL22" s="101"/>
      <c r="MJM22" s="101"/>
      <c r="MJN22" s="101"/>
      <c r="MJO22" s="101"/>
      <c r="MJP22" s="101"/>
      <c r="MJQ22" s="101"/>
      <c r="MJR22" s="101"/>
      <c r="MJS22" s="101"/>
      <c r="MJT22" s="101"/>
      <c r="MJU22" s="101"/>
      <c r="MJV22" s="101"/>
      <c r="MJW22" s="101"/>
      <c r="MJX22" s="101"/>
      <c r="MJY22" s="101"/>
      <c r="MJZ22" s="101"/>
      <c r="MKA22" s="101"/>
      <c r="MKB22" s="101"/>
      <c r="MKC22" s="101"/>
      <c r="MKD22" s="101"/>
      <c r="MKE22" s="101"/>
      <c r="MKF22" s="101"/>
      <c r="MKG22" s="101"/>
      <c r="MKH22" s="101"/>
      <c r="MKI22" s="101"/>
      <c r="MKJ22" s="101"/>
      <c r="MKK22" s="101"/>
      <c r="MKL22" s="101"/>
      <c r="MKM22" s="101"/>
      <c r="MKN22" s="101"/>
      <c r="MKO22" s="101"/>
      <c r="MKP22" s="101"/>
      <c r="MKQ22" s="101"/>
      <c r="MKR22" s="101"/>
      <c r="MKS22" s="101"/>
      <c r="MKT22" s="101"/>
      <c r="MKU22" s="101"/>
      <c r="MKV22" s="101"/>
      <c r="MKW22" s="101"/>
      <c r="MKX22" s="101"/>
      <c r="MKY22" s="101"/>
      <c r="MKZ22" s="101"/>
      <c r="MLA22" s="101"/>
      <c r="MLB22" s="101"/>
      <c r="MLC22" s="101"/>
      <c r="MLD22" s="101"/>
      <c r="MLE22" s="101"/>
      <c r="MLF22" s="101"/>
      <c r="MLG22" s="101"/>
      <c r="MLH22" s="101"/>
      <c r="MLI22" s="101"/>
      <c r="MLJ22" s="101"/>
      <c r="MLK22" s="101"/>
      <c r="MLL22" s="101"/>
      <c r="MLM22" s="101"/>
      <c r="MLN22" s="101"/>
      <c r="MLO22" s="101"/>
      <c r="MLP22" s="101"/>
      <c r="MLQ22" s="101"/>
      <c r="MLR22" s="101"/>
      <c r="MLS22" s="101"/>
      <c r="MLT22" s="101"/>
      <c r="MLU22" s="101"/>
      <c r="MLV22" s="101"/>
      <c r="MLW22" s="101"/>
      <c r="MLX22" s="101"/>
      <c r="MLY22" s="101"/>
      <c r="MLZ22" s="101"/>
      <c r="MMA22" s="101"/>
      <c r="MMB22" s="101"/>
      <c r="MMC22" s="101"/>
      <c r="MMD22" s="101"/>
      <c r="MME22" s="101"/>
      <c r="MMF22" s="101"/>
      <c r="MMG22" s="101"/>
      <c r="MMH22" s="101"/>
      <c r="MMI22" s="101"/>
      <c r="MMJ22" s="101"/>
      <c r="MMK22" s="101"/>
      <c r="MML22" s="101"/>
      <c r="MMM22" s="101"/>
      <c r="MMN22" s="101"/>
      <c r="MMO22" s="101"/>
      <c r="MMP22" s="101"/>
      <c r="MMQ22" s="101"/>
      <c r="MMR22" s="101"/>
      <c r="MMS22" s="101"/>
      <c r="MMT22" s="101"/>
      <c r="MMU22" s="101"/>
      <c r="MMV22" s="101"/>
      <c r="MMW22" s="101"/>
      <c r="MMX22" s="101"/>
      <c r="MMY22" s="101"/>
      <c r="MMZ22" s="101"/>
      <c r="MNA22" s="101"/>
      <c r="MNB22" s="101"/>
      <c r="MNC22" s="101"/>
      <c r="MND22" s="101"/>
      <c r="MNE22" s="101"/>
      <c r="MNF22" s="101"/>
      <c r="MNG22" s="101"/>
      <c r="MNH22" s="101"/>
      <c r="MNI22" s="101"/>
      <c r="MNJ22" s="101"/>
      <c r="MNK22" s="101"/>
      <c r="MNL22" s="101"/>
      <c r="MNM22" s="101"/>
      <c r="MNN22" s="101"/>
      <c r="MNO22" s="101"/>
      <c r="MNP22" s="101"/>
      <c r="MNQ22" s="101"/>
      <c r="MNR22" s="101"/>
      <c r="MNS22" s="101"/>
      <c r="MNT22" s="101"/>
      <c r="MNU22" s="101"/>
      <c r="MNV22" s="101"/>
      <c r="MNW22" s="101"/>
      <c r="MNX22" s="101"/>
      <c r="MNY22" s="101"/>
      <c r="MNZ22" s="101"/>
      <c r="MOA22" s="101"/>
      <c r="MOB22" s="101"/>
      <c r="MOC22" s="101"/>
      <c r="MOD22" s="101"/>
      <c r="MOE22" s="101"/>
      <c r="MOF22" s="101"/>
      <c r="MOG22" s="101"/>
      <c r="MOH22" s="101"/>
      <c r="MOI22" s="101"/>
      <c r="MOJ22" s="101"/>
      <c r="MOK22" s="101"/>
      <c r="MOL22" s="101"/>
      <c r="MOM22" s="101"/>
      <c r="MON22" s="101"/>
      <c r="MOO22" s="101"/>
      <c r="MOP22" s="101"/>
      <c r="MOQ22" s="101"/>
      <c r="MOR22" s="101"/>
      <c r="MOS22" s="101"/>
      <c r="MOT22" s="101"/>
      <c r="MOU22" s="101"/>
      <c r="MOV22" s="101"/>
      <c r="MOW22" s="101"/>
      <c r="MOX22" s="101"/>
      <c r="MOY22" s="101"/>
      <c r="MOZ22" s="101"/>
      <c r="MPA22" s="101"/>
      <c r="MPB22" s="101"/>
      <c r="MPC22" s="101"/>
      <c r="MPD22" s="101"/>
      <c r="MPE22" s="101"/>
      <c r="MPF22" s="101"/>
      <c r="MPG22" s="101"/>
      <c r="MPH22" s="101"/>
      <c r="MPI22" s="101"/>
      <c r="MPJ22" s="101"/>
      <c r="MPK22" s="101"/>
      <c r="MPL22" s="101"/>
      <c r="MPM22" s="101"/>
      <c r="MPN22" s="101"/>
      <c r="MPO22" s="101"/>
      <c r="MPP22" s="101"/>
      <c r="MPQ22" s="101"/>
      <c r="MPR22" s="101"/>
      <c r="MPS22" s="101"/>
      <c r="MPT22" s="101"/>
      <c r="MPU22" s="101"/>
      <c r="MPV22" s="101"/>
      <c r="MPW22" s="101"/>
      <c r="MPX22" s="101"/>
      <c r="MPY22" s="101"/>
      <c r="MPZ22" s="101"/>
      <c r="MQA22" s="101"/>
      <c r="MQB22" s="101"/>
      <c r="MQC22" s="101"/>
      <c r="MQD22" s="101"/>
      <c r="MQE22" s="101"/>
      <c r="MQF22" s="101"/>
      <c r="MQG22" s="101"/>
      <c r="MQH22" s="101"/>
      <c r="MQI22" s="101"/>
      <c r="MQJ22" s="101"/>
      <c r="MQK22" s="101"/>
      <c r="MQL22" s="101"/>
      <c r="MQM22" s="101"/>
      <c r="MQN22" s="101"/>
      <c r="MQO22" s="101"/>
      <c r="MQP22" s="101"/>
      <c r="MQQ22" s="101"/>
      <c r="MQR22" s="101"/>
      <c r="MQS22" s="101"/>
      <c r="MQT22" s="101"/>
      <c r="MQU22" s="101"/>
      <c r="MQV22" s="101"/>
      <c r="MQW22" s="101"/>
      <c r="MQX22" s="101"/>
      <c r="MQY22" s="101"/>
      <c r="MQZ22" s="101"/>
      <c r="MRA22" s="101"/>
      <c r="MRB22" s="101"/>
      <c r="MRC22" s="101"/>
      <c r="MRD22" s="101"/>
      <c r="MRE22" s="101"/>
      <c r="MRF22" s="101"/>
      <c r="MRG22" s="101"/>
      <c r="MRH22" s="101"/>
      <c r="MRI22" s="101"/>
      <c r="MRJ22" s="101"/>
      <c r="MRK22" s="101"/>
      <c r="MRL22" s="101"/>
      <c r="MRM22" s="101"/>
      <c r="MRN22" s="101"/>
      <c r="MRO22" s="101"/>
      <c r="MRP22" s="101"/>
      <c r="MRQ22" s="101"/>
      <c r="MRR22" s="101"/>
      <c r="MRS22" s="101"/>
      <c r="MRT22" s="101"/>
      <c r="MRU22" s="101"/>
      <c r="MRV22" s="101"/>
      <c r="MRW22" s="101"/>
      <c r="MRX22" s="101"/>
      <c r="MRY22" s="101"/>
      <c r="MRZ22" s="101"/>
      <c r="MSA22" s="101"/>
      <c r="MSB22" s="101"/>
      <c r="MSC22" s="101"/>
      <c r="MSD22" s="101"/>
      <c r="MSE22" s="101"/>
      <c r="MSF22" s="101"/>
      <c r="MSG22" s="101"/>
      <c r="MSH22" s="101"/>
      <c r="MSI22" s="101"/>
      <c r="MSJ22" s="101"/>
      <c r="MSK22" s="101"/>
      <c r="MSL22" s="101"/>
      <c r="MSM22" s="101"/>
      <c r="MSN22" s="101"/>
      <c r="MSO22" s="101"/>
      <c r="MSP22" s="101"/>
      <c r="MSQ22" s="101"/>
      <c r="MSR22" s="101"/>
      <c r="MSS22" s="101"/>
      <c r="MST22" s="101"/>
      <c r="MSU22" s="101"/>
      <c r="MSV22" s="101"/>
      <c r="MSW22" s="101"/>
      <c r="MSX22" s="101"/>
      <c r="MSY22" s="101"/>
      <c r="MSZ22" s="101"/>
      <c r="MTA22" s="101"/>
      <c r="MTB22" s="101"/>
      <c r="MTC22" s="101"/>
      <c r="MTD22" s="101"/>
      <c r="MTE22" s="101"/>
      <c r="MTF22" s="101"/>
      <c r="MTG22" s="101"/>
      <c r="MTH22" s="101"/>
      <c r="MTI22" s="101"/>
      <c r="MTJ22" s="101"/>
      <c r="MTK22" s="101"/>
      <c r="MTL22" s="101"/>
      <c r="MTM22" s="101"/>
      <c r="MTN22" s="101"/>
      <c r="MTO22" s="101"/>
      <c r="MTP22" s="101"/>
      <c r="MTQ22" s="101"/>
      <c r="MTR22" s="101"/>
      <c r="MTS22" s="101"/>
      <c r="MTT22" s="101"/>
      <c r="MTU22" s="101"/>
      <c r="MTV22" s="101"/>
      <c r="MTW22" s="101"/>
      <c r="MTX22" s="101"/>
      <c r="MTY22" s="101"/>
      <c r="MTZ22" s="101"/>
      <c r="MUA22" s="101"/>
      <c r="MUB22" s="101"/>
      <c r="MUC22" s="101"/>
      <c r="MUD22" s="101"/>
      <c r="MUE22" s="101"/>
      <c r="MUF22" s="101"/>
      <c r="MUG22" s="101"/>
      <c r="MUH22" s="101"/>
      <c r="MUI22" s="101"/>
      <c r="MUJ22" s="101"/>
      <c r="MUK22" s="101"/>
      <c r="MUL22" s="101"/>
      <c r="MUM22" s="101"/>
      <c r="MUN22" s="101"/>
      <c r="MUO22" s="101"/>
      <c r="MUP22" s="101"/>
      <c r="MUQ22" s="101"/>
      <c r="MUR22" s="101"/>
      <c r="MUS22" s="101"/>
      <c r="MUT22" s="101"/>
      <c r="MUU22" s="101"/>
      <c r="MUV22" s="101"/>
      <c r="MUW22" s="101"/>
      <c r="MUX22" s="101"/>
      <c r="MUY22" s="101"/>
      <c r="MUZ22" s="101"/>
      <c r="MVA22" s="101"/>
      <c r="MVB22" s="101"/>
      <c r="MVC22" s="101"/>
      <c r="MVD22" s="101"/>
      <c r="MVE22" s="101"/>
      <c r="MVF22" s="101"/>
      <c r="MVG22" s="101"/>
      <c r="MVH22" s="101"/>
      <c r="MVI22" s="101"/>
      <c r="MVJ22" s="101"/>
      <c r="MVK22" s="101"/>
      <c r="MVL22" s="101"/>
      <c r="MVM22" s="101"/>
      <c r="MVN22" s="101"/>
      <c r="MVO22" s="101"/>
      <c r="MVP22" s="101"/>
      <c r="MVQ22" s="101"/>
      <c r="MVR22" s="101"/>
      <c r="MVS22" s="101"/>
      <c r="MVT22" s="101"/>
      <c r="MVU22" s="101"/>
      <c r="MVV22" s="101"/>
      <c r="MVW22" s="101"/>
      <c r="MVX22" s="101"/>
      <c r="MVY22" s="101"/>
      <c r="MVZ22" s="101"/>
      <c r="MWA22" s="101"/>
      <c r="MWB22" s="101"/>
      <c r="MWC22" s="101"/>
      <c r="MWD22" s="101"/>
      <c r="MWE22" s="101"/>
      <c r="MWF22" s="101"/>
      <c r="MWG22" s="101"/>
      <c r="MWH22" s="101"/>
      <c r="MWI22" s="101"/>
      <c r="MWJ22" s="101"/>
      <c r="MWK22" s="101"/>
      <c r="MWL22" s="101"/>
      <c r="MWM22" s="101"/>
      <c r="MWN22" s="101"/>
      <c r="MWO22" s="101"/>
      <c r="MWP22" s="101"/>
      <c r="MWQ22" s="101"/>
      <c r="MWR22" s="101"/>
      <c r="MWS22" s="101"/>
      <c r="MWT22" s="101"/>
      <c r="MWU22" s="101"/>
      <c r="MWV22" s="101"/>
      <c r="MWW22" s="101"/>
      <c r="MWX22" s="101"/>
      <c r="MWY22" s="101"/>
      <c r="MWZ22" s="101"/>
      <c r="MXA22" s="101"/>
      <c r="MXB22" s="101"/>
      <c r="MXC22" s="101"/>
      <c r="MXD22" s="101"/>
      <c r="MXE22" s="101"/>
      <c r="MXF22" s="101"/>
      <c r="MXG22" s="101"/>
      <c r="MXH22" s="101"/>
      <c r="MXI22" s="101"/>
      <c r="MXJ22" s="101"/>
      <c r="MXK22" s="101"/>
      <c r="MXL22" s="101"/>
      <c r="MXM22" s="101"/>
      <c r="MXN22" s="101"/>
      <c r="MXO22" s="101"/>
      <c r="MXP22" s="101"/>
      <c r="MXQ22" s="101"/>
      <c r="MXR22" s="101"/>
      <c r="MXS22" s="101"/>
      <c r="MXT22" s="101"/>
      <c r="MXU22" s="101"/>
      <c r="MXV22" s="101"/>
      <c r="MXW22" s="101"/>
      <c r="MXX22" s="101"/>
      <c r="MXY22" s="101"/>
      <c r="MXZ22" s="101"/>
      <c r="MYA22" s="101"/>
      <c r="MYB22" s="101"/>
      <c r="MYC22" s="101"/>
      <c r="MYD22" s="101"/>
      <c r="MYE22" s="101"/>
      <c r="MYF22" s="101"/>
      <c r="MYG22" s="101"/>
      <c r="MYH22" s="101"/>
      <c r="MYI22" s="101"/>
      <c r="MYJ22" s="101"/>
      <c r="MYK22" s="101"/>
      <c r="MYL22" s="101"/>
      <c r="MYM22" s="101"/>
      <c r="MYN22" s="101"/>
      <c r="MYO22" s="101"/>
      <c r="MYP22" s="101"/>
      <c r="MYQ22" s="101"/>
      <c r="MYR22" s="101"/>
      <c r="MYS22" s="101"/>
      <c r="MYT22" s="101"/>
      <c r="MYU22" s="101"/>
      <c r="MYV22" s="101"/>
      <c r="MYW22" s="101"/>
      <c r="MYX22" s="101"/>
      <c r="MYY22" s="101"/>
      <c r="MYZ22" s="101"/>
      <c r="MZA22" s="101"/>
      <c r="MZB22" s="101"/>
      <c r="MZC22" s="101"/>
      <c r="MZD22" s="101"/>
      <c r="MZE22" s="101"/>
      <c r="MZF22" s="101"/>
      <c r="MZG22" s="101"/>
      <c r="MZH22" s="101"/>
      <c r="MZI22" s="101"/>
      <c r="MZJ22" s="101"/>
      <c r="MZK22" s="101"/>
      <c r="MZL22" s="101"/>
      <c r="MZM22" s="101"/>
      <c r="MZN22" s="101"/>
      <c r="MZO22" s="101"/>
      <c r="MZP22" s="101"/>
      <c r="MZQ22" s="101"/>
      <c r="MZR22" s="101"/>
      <c r="MZS22" s="101"/>
      <c r="MZT22" s="101"/>
      <c r="MZU22" s="101"/>
      <c r="MZV22" s="101"/>
      <c r="MZW22" s="101"/>
      <c r="MZX22" s="101"/>
      <c r="MZY22" s="101"/>
      <c r="MZZ22" s="101"/>
      <c r="NAA22" s="101"/>
      <c r="NAB22" s="101"/>
      <c r="NAC22" s="101"/>
      <c r="NAD22" s="101"/>
      <c r="NAE22" s="101"/>
      <c r="NAF22" s="101"/>
      <c r="NAG22" s="101"/>
      <c r="NAH22" s="101"/>
      <c r="NAI22" s="101"/>
      <c r="NAJ22" s="101"/>
      <c r="NAK22" s="101"/>
      <c r="NAL22" s="101"/>
      <c r="NAM22" s="101"/>
      <c r="NAN22" s="101"/>
      <c r="NAO22" s="101"/>
      <c r="NAP22" s="101"/>
      <c r="NAQ22" s="101"/>
      <c r="NAR22" s="101"/>
      <c r="NAS22" s="101"/>
      <c r="NAT22" s="101"/>
      <c r="NAU22" s="101"/>
      <c r="NAV22" s="101"/>
      <c r="NAW22" s="101"/>
      <c r="NAX22" s="101"/>
      <c r="NAY22" s="101"/>
      <c r="NAZ22" s="101"/>
      <c r="NBA22" s="101"/>
      <c r="NBB22" s="101"/>
      <c r="NBC22" s="101"/>
      <c r="NBD22" s="101"/>
      <c r="NBE22" s="101"/>
      <c r="NBF22" s="101"/>
      <c r="NBG22" s="101"/>
      <c r="NBH22" s="101"/>
      <c r="NBI22" s="101"/>
      <c r="NBJ22" s="101"/>
      <c r="NBK22" s="101"/>
      <c r="NBL22" s="101"/>
      <c r="NBM22" s="101"/>
      <c r="NBN22" s="101"/>
      <c r="NBO22" s="101"/>
      <c r="NBP22" s="101"/>
      <c r="NBQ22" s="101"/>
      <c r="NBR22" s="101"/>
      <c r="NBS22" s="101"/>
      <c r="NBT22" s="101"/>
      <c r="NBU22" s="101"/>
      <c r="NBV22" s="101"/>
      <c r="NBW22" s="101"/>
      <c r="NBX22" s="101"/>
      <c r="NBY22" s="101"/>
      <c r="NBZ22" s="101"/>
      <c r="NCA22" s="101"/>
      <c r="NCB22" s="101"/>
      <c r="NCC22" s="101"/>
      <c r="NCD22" s="101"/>
      <c r="NCE22" s="101"/>
      <c r="NCF22" s="101"/>
      <c r="NCG22" s="101"/>
      <c r="NCH22" s="101"/>
      <c r="NCI22" s="101"/>
      <c r="NCJ22" s="101"/>
      <c r="NCK22" s="101"/>
      <c r="NCL22" s="101"/>
      <c r="NCM22" s="101"/>
      <c r="NCN22" s="101"/>
      <c r="NCO22" s="101"/>
      <c r="NCP22" s="101"/>
      <c r="NCQ22" s="101"/>
      <c r="NCR22" s="101"/>
      <c r="NCS22" s="101"/>
      <c r="NCT22" s="101"/>
      <c r="NCU22" s="101"/>
      <c r="NCV22" s="101"/>
      <c r="NCW22" s="101"/>
      <c r="NCX22" s="101"/>
      <c r="NCY22" s="101"/>
      <c r="NCZ22" s="101"/>
      <c r="NDA22" s="101"/>
      <c r="NDB22" s="101"/>
      <c r="NDC22" s="101"/>
      <c r="NDD22" s="101"/>
      <c r="NDE22" s="101"/>
      <c r="NDF22" s="101"/>
      <c r="NDG22" s="101"/>
      <c r="NDH22" s="101"/>
      <c r="NDI22" s="101"/>
      <c r="NDJ22" s="101"/>
      <c r="NDK22" s="101"/>
      <c r="NDL22" s="101"/>
      <c r="NDM22" s="101"/>
      <c r="NDN22" s="101"/>
      <c r="NDO22" s="101"/>
      <c r="NDP22" s="101"/>
      <c r="NDQ22" s="101"/>
      <c r="NDR22" s="101"/>
      <c r="NDS22" s="101"/>
      <c r="NDT22" s="101"/>
      <c r="NDU22" s="101"/>
      <c r="NDV22" s="101"/>
      <c r="NDW22" s="101"/>
      <c r="NDX22" s="101"/>
      <c r="NDY22" s="101"/>
      <c r="NDZ22" s="101"/>
      <c r="NEA22" s="101"/>
      <c r="NEB22" s="101"/>
      <c r="NEC22" s="101"/>
      <c r="NED22" s="101"/>
      <c r="NEE22" s="101"/>
      <c r="NEF22" s="101"/>
      <c r="NEG22" s="101"/>
      <c r="NEH22" s="101"/>
      <c r="NEI22" s="101"/>
      <c r="NEJ22" s="101"/>
      <c r="NEK22" s="101"/>
      <c r="NEL22" s="101"/>
      <c r="NEM22" s="101"/>
      <c r="NEN22" s="101"/>
      <c r="NEO22" s="101"/>
      <c r="NEP22" s="101"/>
      <c r="NEQ22" s="101"/>
      <c r="NER22" s="101"/>
      <c r="NES22" s="101"/>
      <c r="NET22" s="101"/>
      <c r="NEU22" s="101"/>
      <c r="NEV22" s="101"/>
      <c r="NEW22" s="101"/>
      <c r="NEX22" s="101"/>
      <c r="NEY22" s="101"/>
      <c r="NEZ22" s="101"/>
      <c r="NFA22" s="101"/>
      <c r="NFB22" s="101"/>
      <c r="NFC22" s="101"/>
      <c r="NFD22" s="101"/>
      <c r="NFE22" s="101"/>
      <c r="NFF22" s="101"/>
      <c r="NFG22" s="101"/>
      <c r="NFH22" s="101"/>
      <c r="NFI22" s="101"/>
      <c r="NFJ22" s="101"/>
      <c r="NFK22" s="101"/>
      <c r="NFL22" s="101"/>
      <c r="NFM22" s="101"/>
      <c r="NFN22" s="101"/>
      <c r="NFO22" s="101"/>
      <c r="NFP22" s="101"/>
      <c r="NFQ22" s="101"/>
      <c r="NFR22" s="101"/>
      <c r="NFS22" s="101"/>
      <c r="NFT22" s="101"/>
      <c r="NFU22" s="101"/>
      <c r="NFV22" s="101"/>
      <c r="NFW22" s="101"/>
      <c r="NFX22" s="101"/>
      <c r="NFY22" s="101"/>
      <c r="NFZ22" s="101"/>
      <c r="NGA22" s="101"/>
      <c r="NGB22" s="101"/>
      <c r="NGC22" s="101"/>
      <c r="NGD22" s="101"/>
      <c r="NGE22" s="101"/>
      <c r="NGF22" s="101"/>
      <c r="NGG22" s="101"/>
      <c r="NGH22" s="101"/>
      <c r="NGI22" s="101"/>
      <c r="NGJ22" s="101"/>
      <c r="NGK22" s="101"/>
      <c r="NGL22" s="101"/>
      <c r="NGM22" s="101"/>
      <c r="NGN22" s="101"/>
      <c r="NGO22" s="101"/>
      <c r="NGP22" s="101"/>
      <c r="NGQ22" s="101"/>
      <c r="NGR22" s="101"/>
      <c r="NGS22" s="101"/>
      <c r="NGT22" s="101"/>
      <c r="NGU22" s="101"/>
      <c r="NGV22" s="101"/>
      <c r="NGW22" s="101"/>
      <c r="NGX22" s="101"/>
      <c r="NGY22" s="101"/>
      <c r="NGZ22" s="101"/>
      <c r="NHA22" s="101"/>
      <c r="NHB22" s="101"/>
      <c r="NHC22" s="101"/>
      <c r="NHD22" s="101"/>
      <c r="NHE22" s="101"/>
      <c r="NHF22" s="101"/>
      <c r="NHG22" s="101"/>
      <c r="NHH22" s="101"/>
      <c r="NHI22" s="101"/>
      <c r="NHJ22" s="101"/>
      <c r="NHK22" s="101"/>
      <c r="NHL22" s="101"/>
      <c r="NHM22" s="101"/>
      <c r="NHN22" s="101"/>
      <c r="NHO22" s="101"/>
      <c r="NHP22" s="101"/>
      <c r="NHQ22" s="101"/>
      <c r="NHR22" s="101"/>
      <c r="NHS22" s="101"/>
      <c r="NHT22" s="101"/>
      <c r="NHU22" s="101"/>
      <c r="NHV22" s="101"/>
      <c r="NHW22" s="101"/>
      <c r="NHX22" s="101"/>
      <c r="NHY22" s="101"/>
      <c r="NHZ22" s="101"/>
      <c r="NIA22" s="101"/>
      <c r="NIB22" s="101"/>
      <c r="NIC22" s="101"/>
      <c r="NID22" s="101"/>
      <c r="NIE22" s="101"/>
      <c r="NIF22" s="101"/>
      <c r="NIG22" s="101"/>
      <c r="NIH22" s="101"/>
      <c r="NII22" s="101"/>
      <c r="NIJ22" s="101"/>
      <c r="NIK22" s="101"/>
      <c r="NIL22" s="101"/>
      <c r="NIM22" s="101"/>
      <c r="NIN22" s="101"/>
      <c r="NIO22" s="101"/>
      <c r="NIP22" s="101"/>
      <c r="NIQ22" s="101"/>
      <c r="NIR22" s="101"/>
      <c r="NIS22" s="101"/>
      <c r="NIT22" s="101"/>
      <c r="NIU22" s="101"/>
      <c r="NIV22" s="101"/>
      <c r="NIW22" s="101"/>
      <c r="NIX22" s="101"/>
      <c r="NIY22" s="101"/>
      <c r="NIZ22" s="101"/>
      <c r="NJA22" s="101"/>
      <c r="NJB22" s="101"/>
      <c r="NJC22" s="101"/>
      <c r="NJD22" s="101"/>
      <c r="NJE22" s="101"/>
      <c r="NJF22" s="101"/>
      <c r="NJG22" s="101"/>
      <c r="NJH22" s="101"/>
      <c r="NJI22" s="101"/>
      <c r="NJJ22" s="101"/>
      <c r="NJK22" s="101"/>
      <c r="NJL22" s="101"/>
      <c r="NJM22" s="101"/>
      <c r="NJN22" s="101"/>
      <c r="NJO22" s="101"/>
      <c r="NJP22" s="101"/>
      <c r="NJQ22" s="101"/>
      <c r="NJR22" s="101"/>
      <c r="NJS22" s="101"/>
      <c r="NJT22" s="101"/>
      <c r="NJU22" s="101"/>
      <c r="NJV22" s="101"/>
      <c r="NJW22" s="101"/>
      <c r="NJX22" s="101"/>
      <c r="NJY22" s="101"/>
      <c r="NJZ22" s="101"/>
      <c r="NKA22" s="101"/>
      <c r="NKB22" s="101"/>
      <c r="NKC22" s="101"/>
      <c r="NKD22" s="101"/>
      <c r="NKE22" s="101"/>
      <c r="NKF22" s="101"/>
      <c r="NKG22" s="101"/>
      <c r="NKH22" s="101"/>
      <c r="NKI22" s="101"/>
      <c r="NKJ22" s="101"/>
      <c r="NKK22" s="101"/>
      <c r="NKL22" s="101"/>
      <c r="NKM22" s="101"/>
      <c r="NKN22" s="101"/>
      <c r="NKO22" s="101"/>
      <c r="NKP22" s="101"/>
      <c r="NKQ22" s="101"/>
      <c r="NKR22" s="101"/>
      <c r="NKS22" s="101"/>
      <c r="NKT22" s="101"/>
      <c r="NKU22" s="101"/>
      <c r="NKV22" s="101"/>
      <c r="NKW22" s="101"/>
      <c r="NKX22" s="101"/>
      <c r="NKY22" s="101"/>
      <c r="NKZ22" s="101"/>
      <c r="NLA22" s="101"/>
      <c r="NLB22" s="101"/>
      <c r="NLC22" s="101"/>
      <c r="NLD22" s="101"/>
      <c r="NLE22" s="101"/>
      <c r="NLF22" s="101"/>
      <c r="NLG22" s="101"/>
      <c r="NLH22" s="101"/>
      <c r="NLI22" s="101"/>
      <c r="NLJ22" s="101"/>
      <c r="NLK22" s="101"/>
      <c r="NLL22" s="101"/>
      <c r="NLM22" s="101"/>
      <c r="NLN22" s="101"/>
      <c r="NLO22" s="101"/>
      <c r="NLP22" s="101"/>
      <c r="NLQ22" s="101"/>
      <c r="NLR22" s="101"/>
      <c r="NLS22" s="101"/>
      <c r="NLT22" s="101"/>
      <c r="NLU22" s="101"/>
      <c r="NLV22" s="101"/>
      <c r="NLW22" s="101"/>
      <c r="NLX22" s="101"/>
      <c r="NLY22" s="101"/>
      <c r="NLZ22" s="101"/>
      <c r="NMA22" s="101"/>
      <c r="NMB22" s="101"/>
      <c r="NMC22" s="101"/>
      <c r="NMD22" s="101"/>
      <c r="NME22" s="101"/>
      <c r="NMF22" s="101"/>
      <c r="NMG22" s="101"/>
      <c r="NMH22" s="101"/>
      <c r="NMI22" s="101"/>
      <c r="NMJ22" s="101"/>
      <c r="NMK22" s="101"/>
      <c r="NML22" s="101"/>
      <c r="NMM22" s="101"/>
      <c r="NMN22" s="101"/>
      <c r="NMO22" s="101"/>
      <c r="NMP22" s="101"/>
      <c r="NMQ22" s="101"/>
      <c r="NMR22" s="101"/>
      <c r="NMS22" s="101"/>
      <c r="NMT22" s="101"/>
      <c r="NMU22" s="101"/>
      <c r="NMV22" s="101"/>
      <c r="NMW22" s="101"/>
      <c r="NMX22" s="101"/>
      <c r="NMY22" s="101"/>
      <c r="NMZ22" s="101"/>
      <c r="NNA22" s="101"/>
      <c r="NNB22" s="101"/>
      <c r="NNC22" s="101"/>
      <c r="NND22" s="101"/>
      <c r="NNE22" s="101"/>
      <c r="NNF22" s="101"/>
      <c r="NNG22" s="101"/>
      <c r="NNH22" s="101"/>
      <c r="NNI22" s="101"/>
      <c r="NNJ22" s="101"/>
      <c r="NNK22" s="101"/>
      <c r="NNL22" s="101"/>
      <c r="NNM22" s="101"/>
      <c r="NNN22" s="101"/>
      <c r="NNO22" s="101"/>
      <c r="NNP22" s="101"/>
      <c r="NNQ22" s="101"/>
      <c r="NNR22" s="101"/>
      <c r="NNS22" s="101"/>
      <c r="NNT22" s="101"/>
      <c r="NNU22" s="101"/>
      <c r="NNV22" s="101"/>
      <c r="NNW22" s="101"/>
      <c r="NNX22" s="101"/>
      <c r="NNY22" s="101"/>
      <c r="NNZ22" s="101"/>
      <c r="NOA22" s="101"/>
      <c r="NOB22" s="101"/>
      <c r="NOC22" s="101"/>
      <c r="NOD22" s="101"/>
      <c r="NOE22" s="101"/>
      <c r="NOF22" s="101"/>
      <c r="NOG22" s="101"/>
      <c r="NOH22" s="101"/>
      <c r="NOI22" s="101"/>
      <c r="NOJ22" s="101"/>
      <c r="NOK22" s="101"/>
      <c r="NOL22" s="101"/>
      <c r="NOM22" s="101"/>
      <c r="NON22" s="101"/>
      <c r="NOO22" s="101"/>
      <c r="NOP22" s="101"/>
      <c r="NOQ22" s="101"/>
      <c r="NOR22" s="101"/>
      <c r="NOS22" s="101"/>
      <c r="NOT22" s="101"/>
      <c r="NOU22" s="101"/>
      <c r="NOV22" s="101"/>
      <c r="NOW22" s="101"/>
      <c r="NOX22" s="101"/>
      <c r="NOY22" s="101"/>
      <c r="NOZ22" s="101"/>
      <c r="NPA22" s="101"/>
      <c r="NPB22" s="101"/>
      <c r="NPC22" s="101"/>
      <c r="NPD22" s="101"/>
      <c r="NPE22" s="101"/>
      <c r="NPF22" s="101"/>
      <c r="NPG22" s="101"/>
      <c r="NPH22" s="101"/>
      <c r="NPI22" s="101"/>
      <c r="NPJ22" s="101"/>
      <c r="NPK22" s="101"/>
      <c r="NPL22" s="101"/>
      <c r="NPM22" s="101"/>
      <c r="NPN22" s="101"/>
      <c r="NPO22" s="101"/>
      <c r="NPP22" s="101"/>
      <c r="NPQ22" s="101"/>
      <c r="NPR22" s="101"/>
      <c r="NPS22" s="101"/>
      <c r="NPT22" s="101"/>
      <c r="NPU22" s="101"/>
      <c r="NPV22" s="101"/>
      <c r="NPW22" s="101"/>
      <c r="NPX22" s="101"/>
      <c r="NPY22" s="101"/>
      <c r="NPZ22" s="101"/>
      <c r="NQA22" s="101"/>
      <c r="NQB22" s="101"/>
      <c r="NQC22" s="101"/>
      <c r="NQD22" s="101"/>
      <c r="NQE22" s="101"/>
      <c r="NQF22" s="101"/>
      <c r="NQG22" s="101"/>
      <c r="NQH22" s="101"/>
      <c r="NQI22" s="101"/>
      <c r="NQJ22" s="101"/>
      <c r="NQK22" s="101"/>
      <c r="NQL22" s="101"/>
      <c r="NQM22" s="101"/>
      <c r="NQN22" s="101"/>
      <c r="NQO22" s="101"/>
      <c r="NQP22" s="101"/>
      <c r="NQQ22" s="101"/>
      <c r="NQR22" s="101"/>
      <c r="NQS22" s="101"/>
      <c r="NQT22" s="101"/>
      <c r="NQU22" s="101"/>
      <c r="NQV22" s="101"/>
      <c r="NQW22" s="101"/>
      <c r="NQX22" s="101"/>
      <c r="NQY22" s="101"/>
      <c r="NQZ22" s="101"/>
      <c r="NRA22" s="101"/>
      <c r="NRB22" s="101"/>
      <c r="NRC22" s="101"/>
      <c r="NRD22" s="101"/>
      <c r="NRE22" s="101"/>
      <c r="NRF22" s="101"/>
      <c r="NRG22" s="101"/>
      <c r="NRH22" s="101"/>
      <c r="NRI22" s="101"/>
      <c r="NRJ22" s="101"/>
      <c r="NRK22" s="101"/>
      <c r="NRL22" s="101"/>
      <c r="NRM22" s="101"/>
      <c r="NRN22" s="101"/>
      <c r="NRO22" s="101"/>
      <c r="NRP22" s="101"/>
      <c r="NRQ22" s="101"/>
      <c r="NRR22" s="101"/>
      <c r="NRS22" s="101"/>
      <c r="NRT22" s="101"/>
      <c r="NRU22" s="101"/>
      <c r="NRV22" s="101"/>
      <c r="NRW22" s="101"/>
      <c r="NRX22" s="101"/>
      <c r="NRY22" s="101"/>
      <c r="NRZ22" s="101"/>
      <c r="NSA22" s="101"/>
      <c r="NSB22" s="101"/>
      <c r="NSC22" s="101"/>
      <c r="NSD22" s="101"/>
      <c r="NSE22" s="101"/>
      <c r="NSF22" s="101"/>
      <c r="NSG22" s="101"/>
      <c r="NSH22" s="101"/>
      <c r="NSI22" s="101"/>
      <c r="NSJ22" s="101"/>
      <c r="NSK22" s="101"/>
      <c r="NSL22" s="101"/>
      <c r="NSM22" s="101"/>
      <c r="NSN22" s="101"/>
      <c r="NSO22" s="101"/>
      <c r="NSP22" s="101"/>
      <c r="NSQ22" s="101"/>
      <c r="NSR22" s="101"/>
      <c r="NSS22" s="101"/>
      <c r="NST22" s="101"/>
      <c r="NSU22" s="101"/>
      <c r="NSV22" s="101"/>
      <c r="NSW22" s="101"/>
      <c r="NSX22" s="101"/>
      <c r="NSY22" s="101"/>
      <c r="NSZ22" s="101"/>
      <c r="NTA22" s="101"/>
      <c r="NTB22" s="101"/>
      <c r="NTC22" s="101"/>
      <c r="NTD22" s="101"/>
      <c r="NTE22" s="101"/>
      <c r="NTF22" s="101"/>
      <c r="NTG22" s="101"/>
      <c r="NTH22" s="101"/>
      <c r="NTI22" s="101"/>
      <c r="NTJ22" s="101"/>
      <c r="NTK22" s="101"/>
      <c r="NTL22" s="101"/>
      <c r="NTM22" s="101"/>
      <c r="NTN22" s="101"/>
      <c r="NTO22" s="101"/>
      <c r="NTP22" s="101"/>
      <c r="NTQ22" s="101"/>
      <c r="NTR22" s="101"/>
      <c r="NTS22" s="101"/>
      <c r="NTT22" s="101"/>
      <c r="NTU22" s="101"/>
      <c r="NTV22" s="101"/>
      <c r="NTW22" s="101"/>
      <c r="NTX22" s="101"/>
      <c r="NTY22" s="101"/>
      <c r="NTZ22" s="101"/>
      <c r="NUA22" s="101"/>
      <c r="NUB22" s="101"/>
      <c r="NUC22" s="101"/>
      <c r="NUD22" s="101"/>
      <c r="NUE22" s="101"/>
      <c r="NUF22" s="101"/>
      <c r="NUG22" s="101"/>
      <c r="NUH22" s="101"/>
      <c r="NUI22" s="101"/>
      <c r="NUJ22" s="101"/>
      <c r="NUK22" s="101"/>
      <c r="NUL22" s="101"/>
      <c r="NUM22" s="101"/>
      <c r="NUN22" s="101"/>
      <c r="NUO22" s="101"/>
      <c r="NUP22" s="101"/>
      <c r="NUQ22" s="101"/>
      <c r="NUR22" s="101"/>
      <c r="NUS22" s="101"/>
      <c r="NUT22" s="101"/>
      <c r="NUU22" s="101"/>
      <c r="NUV22" s="101"/>
      <c r="NUW22" s="101"/>
      <c r="NUX22" s="101"/>
      <c r="NUY22" s="101"/>
      <c r="NUZ22" s="101"/>
      <c r="NVA22" s="101"/>
      <c r="NVB22" s="101"/>
      <c r="NVC22" s="101"/>
      <c r="NVD22" s="101"/>
      <c r="NVE22" s="101"/>
      <c r="NVF22" s="101"/>
      <c r="NVG22" s="101"/>
      <c r="NVH22" s="101"/>
      <c r="NVI22" s="101"/>
      <c r="NVJ22" s="101"/>
      <c r="NVK22" s="101"/>
      <c r="NVL22" s="101"/>
      <c r="NVM22" s="101"/>
      <c r="NVN22" s="101"/>
      <c r="NVO22" s="101"/>
      <c r="NVP22" s="101"/>
      <c r="NVQ22" s="101"/>
      <c r="NVR22" s="101"/>
      <c r="NVS22" s="101"/>
      <c r="NVT22" s="101"/>
      <c r="NVU22" s="101"/>
      <c r="NVV22" s="101"/>
      <c r="NVW22" s="101"/>
      <c r="NVX22" s="101"/>
      <c r="NVY22" s="101"/>
      <c r="NVZ22" s="101"/>
      <c r="NWA22" s="101"/>
      <c r="NWB22" s="101"/>
      <c r="NWC22" s="101"/>
      <c r="NWD22" s="101"/>
      <c r="NWE22" s="101"/>
      <c r="NWF22" s="101"/>
      <c r="NWG22" s="101"/>
      <c r="NWH22" s="101"/>
      <c r="NWI22" s="101"/>
      <c r="NWJ22" s="101"/>
      <c r="NWK22" s="101"/>
      <c r="NWL22" s="101"/>
      <c r="NWM22" s="101"/>
      <c r="NWN22" s="101"/>
      <c r="NWO22" s="101"/>
      <c r="NWP22" s="101"/>
      <c r="NWQ22" s="101"/>
      <c r="NWR22" s="101"/>
      <c r="NWS22" s="101"/>
      <c r="NWT22" s="101"/>
      <c r="NWU22" s="101"/>
      <c r="NWV22" s="101"/>
      <c r="NWW22" s="101"/>
      <c r="NWX22" s="101"/>
      <c r="NWY22" s="101"/>
      <c r="NWZ22" s="101"/>
      <c r="NXA22" s="101"/>
      <c r="NXB22" s="101"/>
      <c r="NXC22" s="101"/>
      <c r="NXD22" s="101"/>
      <c r="NXE22" s="101"/>
      <c r="NXF22" s="101"/>
      <c r="NXG22" s="101"/>
      <c r="NXH22" s="101"/>
      <c r="NXI22" s="101"/>
      <c r="NXJ22" s="101"/>
      <c r="NXK22" s="101"/>
      <c r="NXL22" s="101"/>
      <c r="NXM22" s="101"/>
      <c r="NXN22" s="101"/>
      <c r="NXO22" s="101"/>
      <c r="NXP22" s="101"/>
      <c r="NXQ22" s="101"/>
      <c r="NXR22" s="101"/>
      <c r="NXS22" s="101"/>
      <c r="NXT22" s="101"/>
      <c r="NXU22" s="101"/>
      <c r="NXV22" s="101"/>
      <c r="NXW22" s="101"/>
      <c r="NXX22" s="101"/>
      <c r="NXY22" s="101"/>
      <c r="NXZ22" s="101"/>
      <c r="NYA22" s="101"/>
      <c r="NYB22" s="101"/>
      <c r="NYC22" s="101"/>
      <c r="NYD22" s="101"/>
      <c r="NYE22" s="101"/>
      <c r="NYF22" s="101"/>
      <c r="NYG22" s="101"/>
      <c r="NYH22" s="101"/>
      <c r="NYI22" s="101"/>
      <c r="NYJ22" s="101"/>
      <c r="NYK22" s="101"/>
      <c r="NYL22" s="101"/>
      <c r="NYM22" s="101"/>
      <c r="NYN22" s="101"/>
      <c r="NYO22" s="101"/>
      <c r="NYP22" s="101"/>
      <c r="NYQ22" s="101"/>
      <c r="NYR22" s="101"/>
      <c r="NYS22" s="101"/>
      <c r="NYT22" s="101"/>
      <c r="NYU22" s="101"/>
      <c r="NYV22" s="101"/>
      <c r="NYW22" s="101"/>
      <c r="NYX22" s="101"/>
      <c r="NYY22" s="101"/>
      <c r="NYZ22" s="101"/>
      <c r="NZA22" s="101"/>
      <c r="NZB22" s="101"/>
      <c r="NZC22" s="101"/>
      <c r="NZD22" s="101"/>
      <c r="NZE22" s="101"/>
      <c r="NZF22" s="101"/>
      <c r="NZG22" s="101"/>
      <c r="NZH22" s="101"/>
      <c r="NZI22" s="101"/>
      <c r="NZJ22" s="101"/>
      <c r="NZK22" s="101"/>
      <c r="NZL22" s="101"/>
      <c r="NZM22" s="101"/>
      <c r="NZN22" s="101"/>
      <c r="NZO22" s="101"/>
      <c r="NZP22" s="101"/>
      <c r="NZQ22" s="101"/>
      <c r="NZR22" s="101"/>
      <c r="NZS22" s="101"/>
      <c r="NZT22" s="101"/>
      <c r="NZU22" s="101"/>
      <c r="NZV22" s="101"/>
      <c r="NZW22" s="101"/>
      <c r="NZX22" s="101"/>
      <c r="NZY22" s="101"/>
      <c r="NZZ22" s="101"/>
      <c r="OAA22" s="101"/>
      <c r="OAB22" s="101"/>
      <c r="OAC22" s="101"/>
      <c r="OAD22" s="101"/>
      <c r="OAE22" s="101"/>
      <c r="OAF22" s="101"/>
      <c r="OAG22" s="101"/>
      <c r="OAH22" s="101"/>
      <c r="OAI22" s="101"/>
      <c r="OAJ22" s="101"/>
      <c r="OAK22" s="101"/>
      <c r="OAL22" s="101"/>
      <c r="OAM22" s="101"/>
      <c r="OAN22" s="101"/>
      <c r="OAO22" s="101"/>
      <c r="OAP22" s="101"/>
      <c r="OAQ22" s="101"/>
      <c r="OAR22" s="101"/>
      <c r="OAS22" s="101"/>
      <c r="OAT22" s="101"/>
      <c r="OAU22" s="101"/>
      <c r="OAV22" s="101"/>
      <c r="OAW22" s="101"/>
      <c r="OAX22" s="101"/>
      <c r="OAY22" s="101"/>
      <c r="OAZ22" s="101"/>
      <c r="OBA22" s="101"/>
      <c r="OBB22" s="101"/>
      <c r="OBC22" s="101"/>
      <c r="OBD22" s="101"/>
      <c r="OBE22" s="101"/>
      <c r="OBF22" s="101"/>
      <c r="OBG22" s="101"/>
      <c r="OBH22" s="101"/>
      <c r="OBI22" s="101"/>
      <c r="OBJ22" s="101"/>
      <c r="OBK22" s="101"/>
      <c r="OBL22" s="101"/>
      <c r="OBM22" s="101"/>
      <c r="OBN22" s="101"/>
      <c r="OBO22" s="101"/>
      <c r="OBP22" s="101"/>
      <c r="OBQ22" s="101"/>
      <c r="OBR22" s="101"/>
      <c r="OBS22" s="101"/>
      <c r="OBT22" s="101"/>
      <c r="OBU22" s="101"/>
      <c r="OBV22" s="101"/>
      <c r="OBW22" s="101"/>
      <c r="OBX22" s="101"/>
      <c r="OBY22" s="101"/>
      <c r="OBZ22" s="101"/>
      <c r="OCA22" s="101"/>
      <c r="OCB22" s="101"/>
      <c r="OCC22" s="101"/>
      <c r="OCD22" s="101"/>
      <c r="OCE22" s="101"/>
      <c r="OCF22" s="101"/>
      <c r="OCG22" s="101"/>
      <c r="OCH22" s="101"/>
      <c r="OCI22" s="101"/>
      <c r="OCJ22" s="101"/>
      <c r="OCK22" s="101"/>
      <c r="OCL22" s="101"/>
      <c r="OCM22" s="101"/>
      <c r="OCN22" s="101"/>
      <c r="OCO22" s="101"/>
      <c r="OCP22" s="101"/>
      <c r="OCQ22" s="101"/>
      <c r="OCR22" s="101"/>
      <c r="OCS22" s="101"/>
      <c r="OCT22" s="101"/>
      <c r="OCU22" s="101"/>
      <c r="OCV22" s="101"/>
      <c r="OCW22" s="101"/>
      <c r="OCX22" s="101"/>
      <c r="OCY22" s="101"/>
      <c r="OCZ22" s="101"/>
      <c r="ODA22" s="101"/>
      <c r="ODB22" s="101"/>
      <c r="ODC22" s="101"/>
      <c r="ODD22" s="101"/>
      <c r="ODE22" s="101"/>
      <c r="ODF22" s="101"/>
      <c r="ODG22" s="101"/>
      <c r="ODH22" s="101"/>
      <c r="ODI22" s="101"/>
      <c r="ODJ22" s="101"/>
      <c r="ODK22" s="101"/>
      <c r="ODL22" s="101"/>
      <c r="ODM22" s="101"/>
      <c r="ODN22" s="101"/>
      <c r="ODO22" s="101"/>
      <c r="ODP22" s="101"/>
      <c r="ODQ22" s="101"/>
      <c r="ODR22" s="101"/>
      <c r="ODS22" s="101"/>
      <c r="ODT22" s="101"/>
      <c r="ODU22" s="101"/>
      <c r="ODV22" s="101"/>
      <c r="ODW22" s="101"/>
      <c r="ODX22" s="101"/>
      <c r="ODY22" s="101"/>
      <c r="ODZ22" s="101"/>
      <c r="OEA22" s="101"/>
      <c r="OEB22" s="101"/>
      <c r="OEC22" s="101"/>
      <c r="OED22" s="101"/>
      <c r="OEE22" s="101"/>
      <c r="OEF22" s="101"/>
      <c r="OEG22" s="101"/>
      <c r="OEH22" s="101"/>
      <c r="OEI22" s="101"/>
      <c r="OEJ22" s="101"/>
      <c r="OEK22" s="101"/>
      <c r="OEL22" s="101"/>
      <c r="OEM22" s="101"/>
      <c r="OEN22" s="101"/>
      <c r="OEO22" s="101"/>
      <c r="OEP22" s="101"/>
      <c r="OEQ22" s="101"/>
      <c r="OER22" s="101"/>
      <c r="OES22" s="101"/>
      <c r="OET22" s="101"/>
      <c r="OEU22" s="101"/>
      <c r="OEV22" s="101"/>
      <c r="OEW22" s="101"/>
      <c r="OEX22" s="101"/>
      <c r="OEY22" s="101"/>
      <c r="OEZ22" s="101"/>
      <c r="OFA22" s="101"/>
      <c r="OFB22" s="101"/>
      <c r="OFC22" s="101"/>
      <c r="OFD22" s="101"/>
      <c r="OFE22" s="101"/>
      <c r="OFF22" s="101"/>
      <c r="OFG22" s="101"/>
      <c r="OFH22" s="101"/>
      <c r="OFI22" s="101"/>
      <c r="OFJ22" s="101"/>
      <c r="OFK22" s="101"/>
      <c r="OFL22" s="101"/>
      <c r="OFM22" s="101"/>
      <c r="OFN22" s="101"/>
      <c r="OFO22" s="101"/>
      <c r="OFP22" s="101"/>
      <c r="OFQ22" s="101"/>
      <c r="OFR22" s="101"/>
      <c r="OFS22" s="101"/>
      <c r="OFT22" s="101"/>
      <c r="OFU22" s="101"/>
      <c r="OFV22" s="101"/>
      <c r="OFW22" s="101"/>
      <c r="OFX22" s="101"/>
      <c r="OFY22" s="101"/>
      <c r="OFZ22" s="101"/>
      <c r="OGA22" s="101"/>
      <c r="OGB22" s="101"/>
      <c r="OGC22" s="101"/>
      <c r="OGD22" s="101"/>
      <c r="OGE22" s="101"/>
      <c r="OGF22" s="101"/>
      <c r="OGG22" s="101"/>
      <c r="OGH22" s="101"/>
      <c r="OGI22" s="101"/>
      <c r="OGJ22" s="101"/>
      <c r="OGK22" s="101"/>
      <c r="OGL22" s="101"/>
      <c r="OGM22" s="101"/>
      <c r="OGN22" s="101"/>
      <c r="OGO22" s="101"/>
      <c r="OGP22" s="101"/>
      <c r="OGQ22" s="101"/>
      <c r="OGR22" s="101"/>
      <c r="OGS22" s="101"/>
      <c r="OGT22" s="101"/>
      <c r="OGU22" s="101"/>
      <c r="OGV22" s="101"/>
      <c r="OGW22" s="101"/>
      <c r="OGX22" s="101"/>
      <c r="OGY22" s="101"/>
      <c r="OGZ22" s="101"/>
      <c r="OHA22" s="101"/>
      <c r="OHB22" s="101"/>
      <c r="OHC22" s="101"/>
      <c r="OHD22" s="101"/>
      <c r="OHE22" s="101"/>
      <c r="OHF22" s="101"/>
      <c r="OHG22" s="101"/>
      <c r="OHH22" s="101"/>
      <c r="OHI22" s="101"/>
      <c r="OHJ22" s="101"/>
      <c r="OHK22" s="101"/>
      <c r="OHL22" s="101"/>
      <c r="OHM22" s="101"/>
      <c r="OHN22" s="101"/>
      <c r="OHO22" s="101"/>
      <c r="OHP22" s="101"/>
      <c r="OHQ22" s="101"/>
      <c r="OHR22" s="101"/>
      <c r="OHS22" s="101"/>
      <c r="OHT22" s="101"/>
      <c r="OHU22" s="101"/>
      <c r="OHV22" s="101"/>
      <c r="OHW22" s="101"/>
      <c r="OHX22" s="101"/>
      <c r="OHY22" s="101"/>
      <c r="OHZ22" s="101"/>
      <c r="OIA22" s="101"/>
      <c r="OIB22" s="101"/>
      <c r="OIC22" s="101"/>
      <c r="OID22" s="101"/>
      <c r="OIE22" s="101"/>
      <c r="OIF22" s="101"/>
      <c r="OIG22" s="101"/>
      <c r="OIH22" s="101"/>
      <c r="OII22" s="101"/>
      <c r="OIJ22" s="101"/>
      <c r="OIK22" s="101"/>
      <c r="OIL22" s="101"/>
      <c r="OIM22" s="101"/>
      <c r="OIN22" s="101"/>
      <c r="OIO22" s="101"/>
      <c r="OIP22" s="101"/>
      <c r="OIQ22" s="101"/>
      <c r="OIR22" s="101"/>
      <c r="OIS22" s="101"/>
      <c r="OIT22" s="101"/>
      <c r="OIU22" s="101"/>
      <c r="OIV22" s="101"/>
      <c r="OIW22" s="101"/>
      <c r="OIX22" s="101"/>
      <c r="OIY22" s="101"/>
      <c r="OIZ22" s="101"/>
      <c r="OJA22" s="101"/>
      <c r="OJB22" s="101"/>
      <c r="OJC22" s="101"/>
      <c r="OJD22" s="101"/>
      <c r="OJE22" s="101"/>
      <c r="OJF22" s="101"/>
      <c r="OJG22" s="101"/>
      <c r="OJH22" s="101"/>
      <c r="OJI22" s="101"/>
      <c r="OJJ22" s="101"/>
      <c r="OJK22" s="101"/>
      <c r="OJL22" s="101"/>
      <c r="OJM22" s="101"/>
      <c r="OJN22" s="101"/>
      <c r="OJO22" s="101"/>
      <c r="OJP22" s="101"/>
      <c r="OJQ22" s="101"/>
      <c r="OJR22" s="101"/>
      <c r="OJS22" s="101"/>
      <c r="OJT22" s="101"/>
      <c r="OJU22" s="101"/>
      <c r="OJV22" s="101"/>
      <c r="OJW22" s="101"/>
      <c r="OJX22" s="101"/>
      <c r="OJY22" s="101"/>
      <c r="OJZ22" s="101"/>
      <c r="OKA22" s="101"/>
      <c r="OKB22" s="101"/>
      <c r="OKC22" s="101"/>
      <c r="OKD22" s="101"/>
      <c r="OKE22" s="101"/>
      <c r="OKF22" s="101"/>
      <c r="OKG22" s="101"/>
      <c r="OKH22" s="101"/>
      <c r="OKI22" s="101"/>
      <c r="OKJ22" s="101"/>
      <c r="OKK22" s="101"/>
      <c r="OKL22" s="101"/>
      <c r="OKM22" s="101"/>
      <c r="OKN22" s="101"/>
      <c r="OKO22" s="101"/>
      <c r="OKP22" s="101"/>
      <c r="OKQ22" s="101"/>
      <c r="OKR22" s="101"/>
      <c r="OKS22" s="101"/>
      <c r="OKT22" s="101"/>
      <c r="OKU22" s="101"/>
      <c r="OKV22" s="101"/>
      <c r="OKW22" s="101"/>
      <c r="OKX22" s="101"/>
      <c r="OKY22" s="101"/>
      <c r="OKZ22" s="101"/>
      <c r="OLA22" s="101"/>
      <c r="OLB22" s="101"/>
      <c r="OLC22" s="101"/>
      <c r="OLD22" s="101"/>
      <c r="OLE22" s="101"/>
      <c r="OLF22" s="101"/>
      <c r="OLG22" s="101"/>
      <c r="OLH22" s="101"/>
      <c r="OLI22" s="101"/>
      <c r="OLJ22" s="101"/>
      <c r="OLK22" s="101"/>
      <c r="OLL22" s="101"/>
      <c r="OLM22" s="101"/>
      <c r="OLN22" s="101"/>
      <c r="OLO22" s="101"/>
      <c r="OLP22" s="101"/>
      <c r="OLQ22" s="101"/>
      <c r="OLR22" s="101"/>
      <c r="OLS22" s="101"/>
      <c r="OLT22" s="101"/>
      <c r="OLU22" s="101"/>
      <c r="OLV22" s="101"/>
      <c r="OLW22" s="101"/>
      <c r="OLX22" s="101"/>
      <c r="OLY22" s="101"/>
      <c r="OLZ22" s="101"/>
      <c r="OMA22" s="101"/>
      <c r="OMB22" s="101"/>
      <c r="OMC22" s="101"/>
      <c r="OMD22" s="101"/>
      <c r="OME22" s="101"/>
      <c r="OMF22" s="101"/>
      <c r="OMG22" s="101"/>
      <c r="OMH22" s="101"/>
      <c r="OMI22" s="101"/>
      <c r="OMJ22" s="101"/>
      <c r="OMK22" s="101"/>
      <c r="OML22" s="101"/>
      <c r="OMM22" s="101"/>
      <c r="OMN22" s="101"/>
      <c r="OMO22" s="101"/>
      <c r="OMP22" s="101"/>
      <c r="OMQ22" s="101"/>
      <c r="OMR22" s="101"/>
      <c r="OMS22" s="101"/>
      <c r="OMT22" s="101"/>
      <c r="OMU22" s="101"/>
      <c r="OMV22" s="101"/>
      <c r="OMW22" s="101"/>
      <c r="OMX22" s="101"/>
      <c r="OMY22" s="101"/>
      <c r="OMZ22" s="101"/>
      <c r="ONA22" s="101"/>
      <c r="ONB22" s="101"/>
      <c r="ONC22" s="101"/>
      <c r="OND22" s="101"/>
      <c r="ONE22" s="101"/>
      <c r="ONF22" s="101"/>
      <c r="ONG22" s="101"/>
      <c r="ONH22" s="101"/>
      <c r="ONI22" s="101"/>
      <c r="ONJ22" s="101"/>
      <c r="ONK22" s="101"/>
      <c r="ONL22" s="101"/>
      <c r="ONM22" s="101"/>
      <c r="ONN22" s="101"/>
      <c r="ONO22" s="101"/>
      <c r="ONP22" s="101"/>
      <c r="ONQ22" s="101"/>
      <c r="ONR22" s="101"/>
      <c r="ONS22" s="101"/>
      <c r="ONT22" s="101"/>
      <c r="ONU22" s="101"/>
      <c r="ONV22" s="101"/>
      <c r="ONW22" s="101"/>
      <c r="ONX22" s="101"/>
      <c r="ONY22" s="101"/>
      <c r="ONZ22" s="101"/>
      <c r="OOA22" s="101"/>
      <c r="OOB22" s="101"/>
      <c r="OOC22" s="101"/>
      <c r="OOD22" s="101"/>
      <c r="OOE22" s="101"/>
      <c r="OOF22" s="101"/>
      <c r="OOG22" s="101"/>
      <c r="OOH22" s="101"/>
      <c r="OOI22" s="101"/>
      <c r="OOJ22" s="101"/>
      <c r="OOK22" s="101"/>
      <c r="OOL22" s="101"/>
      <c r="OOM22" s="101"/>
      <c r="OON22" s="101"/>
      <c r="OOO22" s="101"/>
      <c r="OOP22" s="101"/>
      <c r="OOQ22" s="101"/>
      <c r="OOR22" s="101"/>
      <c r="OOS22" s="101"/>
      <c r="OOT22" s="101"/>
      <c r="OOU22" s="101"/>
      <c r="OOV22" s="101"/>
      <c r="OOW22" s="101"/>
      <c r="OOX22" s="101"/>
      <c r="OOY22" s="101"/>
      <c r="OOZ22" s="101"/>
      <c r="OPA22" s="101"/>
      <c r="OPB22" s="101"/>
      <c r="OPC22" s="101"/>
      <c r="OPD22" s="101"/>
      <c r="OPE22" s="101"/>
      <c r="OPF22" s="101"/>
      <c r="OPG22" s="101"/>
      <c r="OPH22" s="101"/>
      <c r="OPI22" s="101"/>
      <c r="OPJ22" s="101"/>
      <c r="OPK22" s="101"/>
      <c r="OPL22" s="101"/>
      <c r="OPM22" s="101"/>
      <c r="OPN22" s="101"/>
      <c r="OPO22" s="101"/>
      <c r="OPP22" s="101"/>
      <c r="OPQ22" s="101"/>
      <c r="OPR22" s="101"/>
      <c r="OPS22" s="101"/>
      <c r="OPT22" s="101"/>
      <c r="OPU22" s="101"/>
      <c r="OPV22" s="101"/>
      <c r="OPW22" s="101"/>
      <c r="OPX22" s="101"/>
      <c r="OPY22" s="101"/>
      <c r="OPZ22" s="101"/>
      <c r="OQA22" s="101"/>
      <c r="OQB22" s="101"/>
      <c r="OQC22" s="101"/>
      <c r="OQD22" s="101"/>
      <c r="OQE22" s="101"/>
      <c r="OQF22" s="101"/>
      <c r="OQG22" s="101"/>
      <c r="OQH22" s="101"/>
      <c r="OQI22" s="101"/>
      <c r="OQJ22" s="101"/>
      <c r="OQK22" s="101"/>
      <c r="OQL22" s="101"/>
      <c r="OQM22" s="101"/>
      <c r="OQN22" s="101"/>
      <c r="OQO22" s="101"/>
      <c r="OQP22" s="101"/>
      <c r="OQQ22" s="101"/>
      <c r="OQR22" s="101"/>
      <c r="OQS22" s="101"/>
      <c r="OQT22" s="101"/>
      <c r="OQU22" s="101"/>
      <c r="OQV22" s="101"/>
      <c r="OQW22" s="101"/>
      <c r="OQX22" s="101"/>
      <c r="OQY22" s="101"/>
      <c r="OQZ22" s="101"/>
      <c r="ORA22" s="101"/>
      <c r="ORB22" s="101"/>
      <c r="ORC22" s="101"/>
      <c r="ORD22" s="101"/>
      <c r="ORE22" s="101"/>
      <c r="ORF22" s="101"/>
      <c r="ORG22" s="101"/>
      <c r="ORH22" s="101"/>
      <c r="ORI22" s="101"/>
      <c r="ORJ22" s="101"/>
      <c r="ORK22" s="101"/>
      <c r="ORL22" s="101"/>
      <c r="ORM22" s="101"/>
      <c r="ORN22" s="101"/>
      <c r="ORO22" s="101"/>
      <c r="ORP22" s="101"/>
      <c r="ORQ22" s="101"/>
      <c r="ORR22" s="101"/>
      <c r="ORS22" s="101"/>
      <c r="ORT22" s="101"/>
      <c r="ORU22" s="101"/>
      <c r="ORV22" s="101"/>
      <c r="ORW22" s="101"/>
      <c r="ORX22" s="101"/>
      <c r="ORY22" s="101"/>
      <c r="ORZ22" s="101"/>
      <c r="OSA22" s="101"/>
      <c r="OSB22" s="101"/>
      <c r="OSC22" s="101"/>
      <c r="OSD22" s="101"/>
      <c r="OSE22" s="101"/>
      <c r="OSF22" s="101"/>
      <c r="OSG22" s="101"/>
      <c r="OSH22" s="101"/>
      <c r="OSI22" s="101"/>
      <c r="OSJ22" s="101"/>
      <c r="OSK22" s="101"/>
      <c r="OSL22" s="101"/>
      <c r="OSM22" s="101"/>
      <c r="OSN22" s="101"/>
      <c r="OSO22" s="101"/>
      <c r="OSP22" s="101"/>
      <c r="OSQ22" s="101"/>
      <c r="OSR22" s="101"/>
      <c r="OSS22" s="101"/>
      <c r="OST22" s="101"/>
      <c r="OSU22" s="101"/>
      <c r="OSV22" s="101"/>
      <c r="OSW22" s="101"/>
      <c r="OSX22" s="101"/>
      <c r="OSY22" s="101"/>
      <c r="OSZ22" s="101"/>
      <c r="OTA22" s="101"/>
      <c r="OTB22" s="101"/>
      <c r="OTC22" s="101"/>
      <c r="OTD22" s="101"/>
      <c r="OTE22" s="101"/>
      <c r="OTF22" s="101"/>
      <c r="OTG22" s="101"/>
      <c r="OTH22" s="101"/>
      <c r="OTI22" s="101"/>
      <c r="OTJ22" s="101"/>
      <c r="OTK22" s="101"/>
      <c r="OTL22" s="101"/>
      <c r="OTM22" s="101"/>
      <c r="OTN22" s="101"/>
      <c r="OTO22" s="101"/>
      <c r="OTP22" s="101"/>
      <c r="OTQ22" s="101"/>
      <c r="OTR22" s="101"/>
      <c r="OTS22" s="101"/>
      <c r="OTT22" s="101"/>
      <c r="OTU22" s="101"/>
      <c r="OTV22" s="101"/>
      <c r="OTW22" s="101"/>
      <c r="OTX22" s="101"/>
      <c r="OTY22" s="101"/>
      <c r="OTZ22" s="101"/>
      <c r="OUA22" s="101"/>
      <c r="OUB22" s="101"/>
      <c r="OUC22" s="101"/>
      <c r="OUD22" s="101"/>
      <c r="OUE22" s="101"/>
      <c r="OUF22" s="101"/>
      <c r="OUG22" s="101"/>
      <c r="OUH22" s="101"/>
      <c r="OUI22" s="101"/>
      <c r="OUJ22" s="101"/>
      <c r="OUK22" s="101"/>
      <c r="OUL22" s="101"/>
      <c r="OUM22" s="101"/>
      <c r="OUN22" s="101"/>
      <c r="OUO22" s="101"/>
      <c r="OUP22" s="101"/>
      <c r="OUQ22" s="101"/>
      <c r="OUR22" s="101"/>
      <c r="OUS22" s="101"/>
      <c r="OUT22" s="101"/>
      <c r="OUU22" s="101"/>
      <c r="OUV22" s="101"/>
      <c r="OUW22" s="101"/>
      <c r="OUX22" s="101"/>
      <c r="OUY22" s="101"/>
      <c r="OUZ22" s="101"/>
      <c r="OVA22" s="101"/>
      <c r="OVB22" s="101"/>
      <c r="OVC22" s="101"/>
      <c r="OVD22" s="101"/>
      <c r="OVE22" s="101"/>
      <c r="OVF22" s="101"/>
      <c r="OVG22" s="101"/>
      <c r="OVH22" s="101"/>
      <c r="OVI22" s="101"/>
      <c r="OVJ22" s="101"/>
      <c r="OVK22" s="101"/>
      <c r="OVL22" s="101"/>
      <c r="OVM22" s="101"/>
      <c r="OVN22" s="101"/>
      <c r="OVO22" s="101"/>
      <c r="OVP22" s="101"/>
      <c r="OVQ22" s="101"/>
      <c r="OVR22" s="101"/>
      <c r="OVS22" s="101"/>
      <c r="OVT22" s="101"/>
      <c r="OVU22" s="101"/>
      <c r="OVV22" s="101"/>
      <c r="OVW22" s="101"/>
      <c r="OVX22" s="101"/>
      <c r="OVY22" s="101"/>
      <c r="OVZ22" s="101"/>
      <c r="OWA22" s="101"/>
      <c r="OWB22" s="101"/>
      <c r="OWC22" s="101"/>
      <c r="OWD22" s="101"/>
      <c r="OWE22" s="101"/>
      <c r="OWF22" s="101"/>
      <c r="OWG22" s="101"/>
      <c r="OWH22" s="101"/>
      <c r="OWI22" s="101"/>
      <c r="OWJ22" s="101"/>
      <c r="OWK22" s="101"/>
      <c r="OWL22" s="101"/>
      <c r="OWM22" s="101"/>
      <c r="OWN22" s="101"/>
      <c r="OWO22" s="101"/>
      <c r="OWP22" s="101"/>
      <c r="OWQ22" s="101"/>
      <c r="OWR22" s="101"/>
      <c r="OWS22" s="101"/>
      <c r="OWT22" s="101"/>
      <c r="OWU22" s="101"/>
      <c r="OWV22" s="101"/>
      <c r="OWW22" s="101"/>
      <c r="OWX22" s="101"/>
      <c r="OWY22" s="101"/>
      <c r="OWZ22" s="101"/>
      <c r="OXA22" s="101"/>
      <c r="OXB22" s="101"/>
      <c r="OXC22" s="101"/>
      <c r="OXD22" s="101"/>
      <c r="OXE22" s="101"/>
      <c r="OXF22" s="101"/>
      <c r="OXG22" s="101"/>
      <c r="OXH22" s="101"/>
      <c r="OXI22" s="101"/>
      <c r="OXJ22" s="101"/>
      <c r="OXK22" s="101"/>
      <c r="OXL22" s="101"/>
      <c r="OXM22" s="101"/>
      <c r="OXN22" s="101"/>
      <c r="OXO22" s="101"/>
      <c r="OXP22" s="101"/>
      <c r="OXQ22" s="101"/>
      <c r="OXR22" s="101"/>
      <c r="OXS22" s="101"/>
      <c r="OXT22" s="101"/>
      <c r="OXU22" s="101"/>
      <c r="OXV22" s="101"/>
      <c r="OXW22" s="101"/>
      <c r="OXX22" s="101"/>
      <c r="OXY22" s="101"/>
      <c r="OXZ22" s="101"/>
      <c r="OYA22" s="101"/>
      <c r="OYB22" s="101"/>
      <c r="OYC22" s="101"/>
      <c r="OYD22" s="101"/>
      <c r="OYE22" s="101"/>
      <c r="OYF22" s="101"/>
      <c r="OYG22" s="101"/>
      <c r="OYH22" s="101"/>
      <c r="OYI22" s="101"/>
      <c r="OYJ22" s="101"/>
      <c r="OYK22" s="101"/>
      <c r="OYL22" s="101"/>
      <c r="OYM22" s="101"/>
      <c r="OYN22" s="101"/>
      <c r="OYO22" s="101"/>
      <c r="OYP22" s="101"/>
      <c r="OYQ22" s="101"/>
      <c r="OYR22" s="101"/>
      <c r="OYS22" s="101"/>
      <c r="OYT22" s="101"/>
      <c r="OYU22" s="101"/>
      <c r="OYV22" s="101"/>
      <c r="OYW22" s="101"/>
      <c r="OYX22" s="101"/>
      <c r="OYY22" s="101"/>
      <c r="OYZ22" s="101"/>
      <c r="OZA22" s="101"/>
      <c r="OZB22" s="101"/>
      <c r="OZC22" s="101"/>
      <c r="OZD22" s="101"/>
      <c r="OZE22" s="101"/>
      <c r="OZF22" s="101"/>
      <c r="OZG22" s="101"/>
      <c r="OZH22" s="101"/>
      <c r="OZI22" s="101"/>
      <c r="OZJ22" s="101"/>
      <c r="OZK22" s="101"/>
      <c r="OZL22" s="101"/>
      <c r="OZM22" s="101"/>
      <c r="OZN22" s="101"/>
      <c r="OZO22" s="101"/>
      <c r="OZP22" s="101"/>
      <c r="OZQ22" s="101"/>
      <c r="OZR22" s="101"/>
      <c r="OZS22" s="101"/>
      <c r="OZT22" s="101"/>
      <c r="OZU22" s="101"/>
      <c r="OZV22" s="101"/>
      <c r="OZW22" s="101"/>
      <c r="OZX22" s="101"/>
      <c r="OZY22" s="101"/>
      <c r="OZZ22" s="101"/>
      <c r="PAA22" s="101"/>
      <c r="PAB22" s="101"/>
      <c r="PAC22" s="101"/>
      <c r="PAD22" s="101"/>
      <c r="PAE22" s="101"/>
      <c r="PAF22" s="101"/>
      <c r="PAG22" s="101"/>
      <c r="PAH22" s="101"/>
      <c r="PAI22" s="101"/>
      <c r="PAJ22" s="101"/>
      <c r="PAK22" s="101"/>
      <c r="PAL22" s="101"/>
      <c r="PAM22" s="101"/>
      <c r="PAN22" s="101"/>
      <c r="PAO22" s="101"/>
      <c r="PAP22" s="101"/>
      <c r="PAQ22" s="101"/>
      <c r="PAR22" s="101"/>
      <c r="PAS22" s="101"/>
      <c r="PAT22" s="101"/>
      <c r="PAU22" s="101"/>
      <c r="PAV22" s="101"/>
      <c r="PAW22" s="101"/>
      <c r="PAX22" s="101"/>
      <c r="PAY22" s="101"/>
      <c r="PAZ22" s="101"/>
      <c r="PBA22" s="101"/>
      <c r="PBB22" s="101"/>
      <c r="PBC22" s="101"/>
      <c r="PBD22" s="101"/>
      <c r="PBE22" s="101"/>
      <c r="PBF22" s="101"/>
      <c r="PBG22" s="101"/>
      <c r="PBH22" s="101"/>
      <c r="PBI22" s="101"/>
      <c r="PBJ22" s="101"/>
      <c r="PBK22" s="101"/>
      <c r="PBL22" s="101"/>
      <c r="PBM22" s="101"/>
      <c r="PBN22" s="101"/>
      <c r="PBO22" s="101"/>
      <c r="PBP22" s="101"/>
      <c r="PBQ22" s="101"/>
      <c r="PBR22" s="101"/>
      <c r="PBS22" s="101"/>
      <c r="PBT22" s="101"/>
      <c r="PBU22" s="101"/>
      <c r="PBV22" s="101"/>
      <c r="PBW22" s="101"/>
      <c r="PBX22" s="101"/>
      <c r="PBY22" s="101"/>
      <c r="PBZ22" s="101"/>
      <c r="PCA22" s="101"/>
      <c r="PCB22" s="101"/>
      <c r="PCC22" s="101"/>
      <c r="PCD22" s="101"/>
      <c r="PCE22" s="101"/>
      <c r="PCF22" s="101"/>
      <c r="PCG22" s="101"/>
      <c r="PCH22" s="101"/>
      <c r="PCI22" s="101"/>
      <c r="PCJ22" s="101"/>
      <c r="PCK22" s="101"/>
      <c r="PCL22" s="101"/>
      <c r="PCM22" s="101"/>
      <c r="PCN22" s="101"/>
      <c r="PCO22" s="101"/>
      <c r="PCP22" s="101"/>
      <c r="PCQ22" s="101"/>
      <c r="PCR22" s="101"/>
      <c r="PCS22" s="101"/>
      <c r="PCT22" s="101"/>
      <c r="PCU22" s="101"/>
      <c r="PCV22" s="101"/>
      <c r="PCW22" s="101"/>
      <c r="PCX22" s="101"/>
      <c r="PCY22" s="101"/>
      <c r="PCZ22" s="101"/>
      <c r="PDA22" s="101"/>
      <c r="PDB22" s="101"/>
      <c r="PDC22" s="101"/>
      <c r="PDD22" s="101"/>
      <c r="PDE22" s="101"/>
      <c r="PDF22" s="101"/>
      <c r="PDG22" s="101"/>
      <c r="PDH22" s="101"/>
      <c r="PDI22" s="101"/>
      <c r="PDJ22" s="101"/>
      <c r="PDK22" s="101"/>
      <c r="PDL22" s="101"/>
      <c r="PDM22" s="101"/>
      <c r="PDN22" s="101"/>
      <c r="PDO22" s="101"/>
      <c r="PDP22" s="101"/>
      <c r="PDQ22" s="101"/>
      <c r="PDR22" s="101"/>
      <c r="PDS22" s="101"/>
      <c r="PDT22" s="101"/>
      <c r="PDU22" s="101"/>
      <c r="PDV22" s="101"/>
      <c r="PDW22" s="101"/>
      <c r="PDX22" s="101"/>
      <c r="PDY22" s="101"/>
      <c r="PDZ22" s="101"/>
      <c r="PEA22" s="101"/>
      <c r="PEB22" s="101"/>
      <c r="PEC22" s="101"/>
      <c r="PED22" s="101"/>
      <c r="PEE22" s="101"/>
      <c r="PEF22" s="101"/>
      <c r="PEG22" s="101"/>
      <c r="PEH22" s="101"/>
      <c r="PEI22" s="101"/>
      <c r="PEJ22" s="101"/>
      <c r="PEK22" s="101"/>
      <c r="PEL22" s="101"/>
      <c r="PEM22" s="101"/>
      <c r="PEN22" s="101"/>
      <c r="PEO22" s="101"/>
      <c r="PEP22" s="101"/>
      <c r="PEQ22" s="101"/>
      <c r="PER22" s="101"/>
      <c r="PES22" s="101"/>
      <c r="PET22" s="101"/>
      <c r="PEU22" s="101"/>
      <c r="PEV22" s="101"/>
      <c r="PEW22" s="101"/>
      <c r="PEX22" s="101"/>
      <c r="PEY22" s="101"/>
      <c r="PEZ22" s="101"/>
      <c r="PFA22" s="101"/>
      <c r="PFB22" s="101"/>
      <c r="PFC22" s="101"/>
      <c r="PFD22" s="101"/>
      <c r="PFE22" s="101"/>
      <c r="PFF22" s="101"/>
      <c r="PFG22" s="101"/>
      <c r="PFH22" s="101"/>
      <c r="PFI22" s="101"/>
      <c r="PFJ22" s="101"/>
      <c r="PFK22" s="101"/>
      <c r="PFL22" s="101"/>
      <c r="PFM22" s="101"/>
      <c r="PFN22" s="101"/>
      <c r="PFO22" s="101"/>
      <c r="PFP22" s="101"/>
      <c r="PFQ22" s="101"/>
      <c r="PFR22" s="101"/>
      <c r="PFS22" s="101"/>
      <c r="PFT22" s="101"/>
      <c r="PFU22" s="101"/>
      <c r="PFV22" s="101"/>
      <c r="PFW22" s="101"/>
      <c r="PFX22" s="101"/>
      <c r="PFY22" s="101"/>
      <c r="PFZ22" s="101"/>
      <c r="PGA22" s="101"/>
      <c r="PGB22" s="101"/>
      <c r="PGC22" s="101"/>
      <c r="PGD22" s="101"/>
      <c r="PGE22" s="101"/>
      <c r="PGF22" s="101"/>
      <c r="PGG22" s="101"/>
      <c r="PGH22" s="101"/>
      <c r="PGI22" s="101"/>
      <c r="PGJ22" s="101"/>
      <c r="PGK22" s="101"/>
      <c r="PGL22" s="101"/>
      <c r="PGM22" s="101"/>
      <c r="PGN22" s="101"/>
      <c r="PGO22" s="101"/>
      <c r="PGP22" s="101"/>
      <c r="PGQ22" s="101"/>
      <c r="PGR22" s="101"/>
      <c r="PGS22" s="101"/>
      <c r="PGT22" s="101"/>
      <c r="PGU22" s="101"/>
      <c r="PGV22" s="101"/>
      <c r="PGW22" s="101"/>
      <c r="PGX22" s="101"/>
      <c r="PGY22" s="101"/>
      <c r="PGZ22" s="101"/>
      <c r="PHA22" s="101"/>
      <c r="PHB22" s="101"/>
      <c r="PHC22" s="101"/>
      <c r="PHD22" s="101"/>
      <c r="PHE22" s="101"/>
      <c r="PHF22" s="101"/>
      <c r="PHG22" s="101"/>
      <c r="PHH22" s="101"/>
      <c r="PHI22" s="101"/>
      <c r="PHJ22" s="101"/>
      <c r="PHK22" s="101"/>
      <c r="PHL22" s="101"/>
      <c r="PHM22" s="101"/>
      <c r="PHN22" s="101"/>
      <c r="PHO22" s="101"/>
      <c r="PHP22" s="101"/>
      <c r="PHQ22" s="101"/>
      <c r="PHR22" s="101"/>
      <c r="PHS22" s="101"/>
      <c r="PHT22" s="101"/>
      <c r="PHU22" s="101"/>
      <c r="PHV22" s="101"/>
      <c r="PHW22" s="101"/>
      <c r="PHX22" s="101"/>
      <c r="PHY22" s="101"/>
      <c r="PHZ22" s="101"/>
      <c r="PIA22" s="101"/>
      <c r="PIB22" s="101"/>
      <c r="PIC22" s="101"/>
      <c r="PID22" s="101"/>
      <c r="PIE22" s="101"/>
      <c r="PIF22" s="101"/>
      <c r="PIG22" s="101"/>
      <c r="PIH22" s="101"/>
      <c r="PII22" s="101"/>
      <c r="PIJ22" s="101"/>
      <c r="PIK22" s="101"/>
      <c r="PIL22" s="101"/>
      <c r="PIM22" s="101"/>
      <c r="PIN22" s="101"/>
      <c r="PIO22" s="101"/>
      <c r="PIP22" s="101"/>
      <c r="PIQ22" s="101"/>
      <c r="PIR22" s="101"/>
      <c r="PIS22" s="101"/>
      <c r="PIT22" s="101"/>
      <c r="PIU22" s="101"/>
      <c r="PIV22" s="101"/>
      <c r="PIW22" s="101"/>
      <c r="PIX22" s="101"/>
      <c r="PIY22" s="101"/>
      <c r="PIZ22" s="101"/>
      <c r="PJA22" s="101"/>
      <c r="PJB22" s="101"/>
      <c r="PJC22" s="101"/>
      <c r="PJD22" s="101"/>
      <c r="PJE22" s="101"/>
      <c r="PJF22" s="101"/>
      <c r="PJG22" s="101"/>
      <c r="PJH22" s="101"/>
      <c r="PJI22" s="101"/>
      <c r="PJJ22" s="101"/>
      <c r="PJK22" s="101"/>
      <c r="PJL22" s="101"/>
      <c r="PJM22" s="101"/>
      <c r="PJN22" s="101"/>
      <c r="PJO22" s="101"/>
      <c r="PJP22" s="101"/>
      <c r="PJQ22" s="101"/>
      <c r="PJR22" s="101"/>
      <c r="PJS22" s="101"/>
      <c r="PJT22" s="101"/>
      <c r="PJU22" s="101"/>
      <c r="PJV22" s="101"/>
      <c r="PJW22" s="101"/>
      <c r="PJX22" s="101"/>
      <c r="PJY22" s="101"/>
      <c r="PJZ22" s="101"/>
      <c r="PKA22" s="101"/>
      <c r="PKB22" s="101"/>
      <c r="PKC22" s="101"/>
      <c r="PKD22" s="101"/>
      <c r="PKE22" s="101"/>
      <c r="PKF22" s="101"/>
      <c r="PKG22" s="101"/>
      <c r="PKH22" s="101"/>
      <c r="PKI22" s="101"/>
      <c r="PKJ22" s="101"/>
      <c r="PKK22" s="101"/>
      <c r="PKL22" s="101"/>
      <c r="PKM22" s="101"/>
      <c r="PKN22" s="101"/>
      <c r="PKO22" s="101"/>
      <c r="PKP22" s="101"/>
      <c r="PKQ22" s="101"/>
      <c r="PKR22" s="101"/>
      <c r="PKS22" s="101"/>
      <c r="PKT22" s="101"/>
      <c r="PKU22" s="101"/>
      <c r="PKV22" s="101"/>
      <c r="PKW22" s="101"/>
      <c r="PKX22" s="101"/>
      <c r="PKY22" s="101"/>
      <c r="PKZ22" s="101"/>
      <c r="PLA22" s="101"/>
      <c r="PLB22" s="101"/>
      <c r="PLC22" s="101"/>
      <c r="PLD22" s="101"/>
      <c r="PLE22" s="101"/>
      <c r="PLF22" s="101"/>
      <c r="PLG22" s="101"/>
      <c r="PLH22" s="101"/>
      <c r="PLI22" s="101"/>
      <c r="PLJ22" s="101"/>
      <c r="PLK22" s="101"/>
      <c r="PLL22" s="101"/>
      <c r="PLM22" s="101"/>
      <c r="PLN22" s="101"/>
      <c r="PLO22" s="101"/>
      <c r="PLP22" s="101"/>
      <c r="PLQ22" s="101"/>
      <c r="PLR22" s="101"/>
      <c r="PLS22" s="101"/>
      <c r="PLT22" s="101"/>
      <c r="PLU22" s="101"/>
      <c r="PLV22" s="101"/>
      <c r="PLW22" s="101"/>
      <c r="PLX22" s="101"/>
      <c r="PLY22" s="101"/>
      <c r="PLZ22" s="101"/>
      <c r="PMA22" s="101"/>
      <c r="PMB22" s="101"/>
      <c r="PMC22" s="101"/>
      <c r="PMD22" s="101"/>
      <c r="PME22" s="101"/>
      <c r="PMF22" s="101"/>
      <c r="PMG22" s="101"/>
      <c r="PMH22" s="101"/>
      <c r="PMI22" s="101"/>
      <c r="PMJ22" s="101"/>
      <c r="PMK22" s="101"/>
      <c r="PML22" s="101"/>
      <c r="PMM22" s="101"/>
      <c r="PMN22" s="101"/>
      <c r="PMO22" s="101"/>
      <c r="PMP22" s="101"/>
      <c r="PMQ22" s="101"/>
      <c r="PMR22" s="101"/>
      <c r="PMS22" s="101"/>
      <c r="PMT22" s="101"/>
      <c r="PMU22" s="101"/>
      <c r="PMV22" s="101"/>
      <c r="PMW22" s="101"/>
      <c r="PMX22" s="101"/>
      <c r="PMY22" s="101"/>
      <c r="PMZ22" s="101"/>
      <c r="PNA22" s="101"/>
      <c r="PNB22" s="101"/>
      <c r="PNC22" s="101"/>
      <c r="PND22" s="101"/>
      <c r="PNE22" s="101"/>
      <c r="PNF22" s="101"/>
      <c r="PNG22" s="101"/>
      <c r="PNH22" s="101"/>
      <c r="PNI22" s="101"/>
      <c r="PNJ22" s="101"/>
      <c r="PNK22" s="101"/>
      <c r="PNL22" s="101"/>
      <c r="PNM22" s="101"/>
      <c r="PNN22" s="101"/>
      <c r="PNO22" s="101"/>
      <c r="PNP22" s="101"/>
      <c r="PNQ22" s="101"/>
      <c r="PNR22" s="101"/>
      <c r="PNS22" s="101"/>
      <c r="PNT22" s="101"/>
      <c r="PNU22" s="101"/>
      <c r="PNV22" s="101"/>
      <c r="PNW22" s="101"/>
      <c r="PNX22" s="101"/>
      <c r="PNY22" s="101"/>
      <c r="PNZ22" s="101"/>
      <c r="POA22" s="101"/>
      <c r="POB22" s="101"/>
      <c r="POC22" s="101"/>
      <c r="POD22" s="101"/>
      <c r="POE22" s="101"/>
      <c r="POF22" s="101"/>
      <c r="POG22" s="101"/>
      <c r="POH22" s="101"/>
      <c r="POI22" s="101"/>
      <c r="POJ22" s="101"/>
      <c r="POK22" s="101"/>
      <c r="POL22" s="101"/>
      <c r="POM22" s="101"/>
      <c r="PON22" s="101"/>
      <c r="POO22" s="101"/>
      <c r="POP22" s="101"/>
      <c r="POQ22" s="101"/>
      <c r="POR22" s="101"/>
      <c r="POS22" s="101"/>
      <c r="POT22" s="101"/>
      <c r="POU22" s="101"/>
      <c r="POV22" s="101"/>
      <c r="POW22" s="101"/>
      <c r="POX22" s="101"/>
      <c r="POY22" s="101"/>
      <c r="POZ22" s="101"/>
      <c r="PPA22" s="101"/>
      <c r="PPB22" s="101"/>
      <c r="PPC22" s="101"/>
      <c r="PPD22" s="101"/>
      <c r="PPE22" s="101"/>
      <c r="PPF22" s="101"/>
      <c r="PPG22" s="101"/>
      <c r="PPH22" s="101"/>
      <c r="PPI22" s="101"/>
      <c r="PPJ22" s="101"/>
      <c r="PPK22" s="101"/>
      <c r="PPL22" s="101"/>
      <c r="PPM22" s="101"/>
      <c r="PPN22" s="101"/>
      <c r="PPO22" s="101"/>
      <c r="PPP22" s="101"/>
      <c r="PPQ22" s="101"/>
      <c r="PPR22" s="101"/>
      <c r="PPS22" s="101"/>
      <c r="PPT22" s="101"/>
      <c r="PPU22" s="101"/>
      <c r="PPV22" s="101"/>
      <c r="PPW22" s="101"/>
      <c r="PPX22" s="101"/>
      <c r="PPY22" s="101"/>
      <c r="PPZ22" s="101"/>
      <c r="PQA22" s="101"/>
      <c r="PQB22" s="101"/>
      <c r="PQC22" s="101"/>
      <c r="PQD22" s="101"/>
      <c r="PQE22" s="101"/>
      <c r="PQF22" s="101"/>
      <c r="PQG22" s="101"/>
      <c r="PQH22" s="101"/>
      <c r="PQI22" s="101"/>
      <c r="PQJ22" s="101"/>
      <c r="PQK22" s="101"/>
      <c r="PQL22" s="101"/>
      <c r="PQM22" s="101"/>
      <c r="PQN22" s="101"/>
      <c r="PQO22" s="101"/>
      <c r="PQP22" s="101"/>
      <c r="PQQ22" s="101"/>
      <c r="PQR22" s="101"/>
      <c r="PQS22" s="101"/>
      <c r="PQT22" s="101"/>
      <c r="PQU22" s="101"/>
      <c r="PQV22" s="101"/>
      <c r="PQW22" s="101"/>
      <c r="PQX22" s="101"/>
      <c r="PQY22" s="101"/>
      <c r="PQZ22" s="101"/>
      <c r="PRA22" s="101"/>
      <c r="PRB22" s="101"/>
      <c r="PRC22" s="101"/>
      <c r="PRD22" s="101"/>
      <c r="PRE22" s="101"/>
      <c r="PRF22" s="101"/>
      <c r="PRG22" s="101"/>
      <c r="PRH22" s="101"/>
      <c r="PRI22" s="101"/>
      <c r="PRJ22" s="101"/>
      <c r="PRK22" s="101"/>
      <c r="PRL22" s="101"/>
      <c r="PRM22" s="101"/>
      <c r="PRN22" s="101"/>
      <c r="PRO22" s="101"/>
      <c r="PRP22" s="101"/>
      <c r="PRQ22" s="101"/>
      <c r="PRR22" s="101"/>
      <c r="PRS22" s="101"/>
      <c r="PRT22" s="101"/>
      <c r="PRU22" s="101"/>
      <c r="PRV22" s="101"/>
      <c r="PRW22" s="101"/>
      <c r="PRX22" s="101"/>
      <c r="PRY22" s="101"/>
      <c r="PRZ22" s="101"/>
      <c r="PSA22" s="101"/>
      <c r="PSB22" s="101"/>
      <c r="PSC22" s="101"/>
      <c r="PSD22" s="101"/>
      <c r="PSE22" s="101"/>
      <c r="PSF22" s="101"/>
      <c r="PSG22" s="101"/>
      <c r="PSH22" s="101"/>
      <c r="PSI22" s="101"/>
      <c r="PSJ22" s="101"/>
      <c r="PSK22" s="101"/>
      <c r="PSL22" s="101"/>
      <c r="PSM22" s="101"/>
      <c r="PSN22" s="101"/>
      <c r="PSO22" s="101"/>
      <c r="PSP22" s="101"/>
      <c r="PSQ22" s="101"/>
      <c r="PSR22" s="101"/>
      <c r="PSS22" s="101"/>
      <c r="PST22" s="101"/>
      <c r="PSU22" s="101"/>
      <c r="PSV22" s="101"/>
      <c r="PSW22" s="101"/>
      <c r="PSX22" s="101"/>
      <c r="PSY22" s="101"/>
      <c r="PSZ22" s="101"/>
      <c r="PTA22" s="101"/>
      <c r="PTB22" s="101"/>
      <c r="PTC22" s="101"/>
      <c r="PTD22" s="101"/>
      <c r="PTE22" s="101"/>
      <c r="PTF22" s="101"/>
      <c r="PTG22" s="101"/>
      <c r="PTH22" s="101"/>
      <c r="PTI22" s="101"/>
      <c r="PTJ22" s="101"/>
      <c r="PTK22" s="101"/>
      <c r="PTL22" s="101"/>
      <c r="PTM22" s="101"/>
      <c r="PTN22" s="101"/>
      <c r="PTO22" s="101"/>
      <c r="PTP22" s="101"/>
      <c r="PTQ22" s="101"/>
      <c r="PTR22" s="101"/>
      <c r="PTS22" s="101"/>
      <c r="PTT22" s="101"/>
      <c r="PTU22" s="101"/>
      <c r="PTV22" s="101"/>
      <c r="PTW22" s="101"/>
      <c r="PTX22" s="101"/>
      <c r="PTY22" s="101"/>
      <c r="PTZ22" s="101"/>
      <c r="PUA22" s="101"/>
      <c r="PUB22" s="101"/>
      <c r="PUC22" s="101"/>
      <c r="PUD22" s="101"/>
      <c r="PUE22" s="101"/>
      <c r="PUF22" s="101"/>
      <c r="PUG22" s="101"/>
      <c r="PUH22" s="101"/>
      <c r="PUI22" s="101"/>
      <c r="PUJ22" s="101"/>
      <c r="PUK22" s="101"/>
      <c r="PUL22" s="101"/>
      <c r="PUM22" s="101"/>
      <c r="PUN22" s="101"/>
      <c r="PUO22" s="101"/>
      <c r="PUP22" s="101"/>
      <c r="PUQ22" s="101"/>
      <c r="PUR22" s="101"/>
      <c r="PUS22" s="101"/>
      <c r="PUT22" s="101"/>
      <c r="PUU22" s="101"/>
      <c r="PUV22" s="101"/>
      <c r="PUW22" s="101"/>
      <c r="PUX22" s="101"/>
      <c r="PUY22" s="101"/>
      <c r="PUZ22" s="101"/>
      <c r="PVA22" s="101"/>
      <c r="PVB22" s="101"/>
      <c r="PVC22" s="101"/>
      <c r="PVD22" s="101"/>
      <c r="PVE22" s="101"/>
      <c r="PVF22" s="101"/>
      <c r="PVG22" s="101"/>
      <c r="PVH22" s="101"/>
      <c r="PVI22" s="101"/>
      <c r="PVJ22" s="101"/>
      <c r="PVK22" s="101"/>
      <c r="PVL22" s="101"/>
      <c r="PVM22" s="101"/>
      <c r="PVN22" s="101"/>
      <c r="PVO22" s="101"/>
      <c r="PVP22" s="101"/>
      <c r="PVQ22" s="101"/>
      <c r="PVR22" s="101"/>
      <c r="PVS22" s="101"/>
      <c r="PVT22" s="101"/>
      <c r="PVU22" s="101"/>
      <c r="PVV22" s="101"/>
      <c r="PVW22" s="101"/>
      <c r="PVX22" s="101"/>
      <c r="PVY22" s="101"/>
      <c r="PVZ22" s="101"/>
      <c r="PWA22" s="101"/>
      <c r="PWB22" s="101"/>
      <c r="PWC22" s="101"/>
      <c r="PWD22" s="101"/>
      <c r="PWE22" s="101"/>
      <c r="PWF22" s="101"/>
      <c r="PWG22" s="101"/>
      <c r="PWH22" s="101"/>
      <c r="PWI22" s="101"/>
      <c r="PWJ22" s="101"/>
      <c r="PWK22" s="101"/>
      <c r="PWL22" s="101"/>
      <c r="PWM22" s="101"/>
      <c r="PWN22" s="101"/>
      <c r="PWO22" s="101"/>
      <c r="PWP22" s="101"/>
      <c r="PWQ22" s="101"/>
      <c r="PWR22" s="101"/>
      <c r="PWS22" s="101"/>
      <c r="PWT22" s="101"/>
      <c r="PWU22" s="101"/>
      <c r="PWV22" s="101"/>
      <c r="PWW22" s="101"/>
      <c r="PWX22" s="101"/>
      <c r="PWY22" s="101"/>
      <c r="PWZ22" s="101"/>
      <c r="PXA22" s="101"/>
      <c r="PXB22" s="101"/>
      <c r="PXC22" s="101"/>
      <c r="PXD22" s="101"/>
      <c r="PXE22" s="101"/>
      <c r="PXF22" s="101"/>
      <c r="PXG22" s="101"/>
      <c r="PXH22" s="101"/>
      <c r="PXI22" s="101"/>
      <c r="PXJ22" s="101"/>
      <c r="PXK22" s="101"/>
      <c r="PXL22" s="101"/>
      <c r="PXM22" s="101"/>
      <c r="PXN22" s="101"/>
      <c r="PXO22" s="101"/>
      <c r="PXP22" s="101"/>
      <c r="PXQ22" s="101"/>
      <c r="PXR22" s="101"/>
      <c r="PXS22" s="101"/>
      <c r="PXT22" s="101"/>
      <c r="PXU22" s="101"/>
      <c r="PXV22" s="101"/>
      <c r="PXW22" s="101"/>
      <c r="PXX22" s="101"/>
      <c r="PXY22" s="101"/>
      <c r="PXZ22" s="101"/>
      <c r="PYA22" s="101"/>
      <c r="PYB22" s="101"/>
      <c r="PYC22" s="101"/>
      <c r="PYD22" s="101"/>
      <c r="PYE22" s="101"/>
      <c r="PYF22" s="101"/>
      <c r="PYG22" s="101"/>
      <c r="PYH22" s="101"/>
      <c r="PYI22" s="101"/>
      <c r="PYJ22" s="101"/>
      <c r="PYK22" s="101"/>
      <c r="PYL22" s="101"/>
      <c r="PYM22" s="101"/>
      <c r="PYN22" s="101"/>
      <c r="PYO22" s="101"/>
      <c r="PYP22" s="101"/>
      <c r="PYQ22" s="101"/>
      <c r="PYR22" s="101"/>
      <c r="PYS22" s="101"/>
      <c r="PYT22" s="101"/>
      <c r="PYU22" s="101"/>
      <c r="PYV22" s="101"/>
      <c r="PYW22" s="101"/>
      <c r="PYX22" s="101"/>
      <c r="PYY22" s="101"/>
      <c r="PYZ22" s="101"/>
      <c r="PZA22" s="101"/>
      <c r="PZB22" s="101"/>
      <c r="PZC22" s="101"/>
      <c r="PZD22" s="101"/>
      <c r="PZE22" s="101"/>
      <c r="PZF22" s="101"/>
      <c r="PZG22" s="101"/>
      <c r="PZH22" s="101"/>
      <c r="PZI22" s="101"/>
      <c r="PZJ22" s="101"/>
      <c r="PZK22" s="101"/>
      <c r="PZL22" s="101"/>
      <c r="PZM22" s="101"/>
      <c r="PZN22" s="101"/>
      <c r="PZO22" s="101"/>
      <c r="PZP22" s="101"/>
      <c r="PZQ22" s="101"/>
      <c r="PZR22" s="101"/>
      <c r="PZS22" s="101"/>
      <c r="PZT22" s="101"/>
      <c r="PZU22" s="101"/>
      <c r="PZV22" s="101"/>
      <c r="PZW22" s="101"/>
      <c r="PZX22" s="101"/>
      <c r="PZY22" s="101"/>
      <c r="PZZ22" s="101"/>
      <c r="QAA22" s="101"/>
      <c r="QAB22" s="101"/>
      <c r="QAC22" s="101"/>
      <c r="QAD22" s="101"/>
      <c r="QAE22" s="101"/>
      <c r="QAF22" s="101"/>
      <c r="QAG22" s="101"/>
      <c r="QAH22" s="101"/>
      <c r="QAI22" s="101"/>
      <c r="QAJ22" s="101"/>
      <c r="QAK22" s="101"/>
      <c r="QAL22" s="101"/>
      <c r="QAM22" s="101"/>
      <c r="QAN22" s="101"/>
      <c r="QAO22" s="101"/>
      <c r="QAP22" s="101"/>
      <c r="QAQ22" s="101"/>
      <c r="QAR22" s="101"/>
      <c r="QAS22" s="101"/>
      <c r="QAT22" s="101"/>
      <c r="QAU22" s="101"/>
      <c r="QAV22" s="101"/>
      <c r="QAW22" s="101"/>
      <c r="QAX22" s="101"/>
      <c r="QAY22" s="101"/>
      <c r="QAZ22" s="101"/>
      <c r="QBA22" s="101"/>
      <c r="QBB22" s="101"/>
      <c r="QBC22" s="101"/>
      <c r="QBD22" s="101"/>
      <c r="QBE22" s="101"/>
      <c r="QBF22" s="101"/>
      <c r="QBG22" s="101"/>
      <c r="QBH22" s="101"/>
      <c r="QBI22" s="101"/>
      <c r="QBJ22" s="101"/>
      <c r="QBK22" s="101"/>
      <c r="QBL22" s="101"/>
      <c r="QBM22" s="101"/>
      <c r="QBN22" s="101"/>
      <c r="QBO22" s="101"/>
      <c r="QBP22" s="101"/>
      <c r="QBQ22" s="101"/>
      <c r="QBR22" s="101"/>
      <c r="QBS22" s="101"/>
      <c r="QBT22" s="101"/>
      <c r="QBU22" s="101"/>
      <c r="QBV22" s="101"/>
      <c r="QBW22" s="101"/>
      <c r="QBX22" s="101"/>
      <c r="QBY22" s="101"/>
      <c r="QBZ22" s="101"/>
      <c r="QCA22" s="101"/>
      <c r="QCB22" s="101"/>
      <c r="QCC22" s="101"/>
      <c r="QCD22" s="101"/>
      <c r="QCE22" s="101"/>
      <c r="QCF22" s="101"/>
      <c r="QCG22" s="101"/>
      <c r="QCH22" s="101"/>
      <c r="QCI22" s="101"/>
      <c r="QCJ22" s="101"/>
      <c r="QCK22" s="101"/>
      <c r="QCL22" s="101"/>
      <c r="QCM22" s="101"/>
      <c r="QCN22" s="101"/>
      <c r="QCO22" s="101"/>
      <c r="QCP22" s="101"/>
      <c r="QCQ22" s="101"/>
      <c r="QCR22" s="101"/>
      <c r="QCS22" s="101"/>
      <c r="QCT22" s="101"/>
      <c r="QCU22" s="101"/>
      <c r="QCV22" s="101"/>
      <c r="QCW22" s="101"/>
      <c r="QCX22" s="101"/>
      <c r="QCY22" s="101"/>
      <c r="QCZ22" s="101"/>
      <c r="QDA22" s="101"/>
      <c r="QDB22" s="101"/>
      <c r="QDC22" s="101"/>
      <c r="QDD22" s="101"/>
      <c r="QDE22" s="101"/>
      <c r="QDF22" s="101"/>
      <c r="QDG22" s="101"/>
      <c r="QDH22" s="101"/>
      <c r="QDI22" s="101"/>
      <c r="QDJ22" s="101"/>
      <c r="QDK22" s="101"/>
      <c r="QDL22" s="101"/>
      <c r="QDM22" s="101"/>
      <c r="QDN22" s="101"/>
      <c r="QDO22" s="101"/>
      <c r="QDP22" s="101"/>
      <c r="QDQ22" s="101"/>
      <c r="QDR22" s="101"/>
      <c r="QDS22" s="101"/>
      <c r="QDT22" s="101"/>
      <c r="QDU22" s="101"/>
      <c r="QDV22" s="101"/>
      <c r="QDW22" s="101"/>
      <c r="QDX22" s="101"/>
      <c r="QDY22" s="101"/>
      <c r="QDZ22" s="101"/>
      <c r="QEA22" s="101"/>
      <c r="QEB22" s="101"/>
      <c r="QEC22" s="101"/>
      <c r="QED22" s="101"/>
      <c r="QEE22" s="101"/>
      <c r="QEF22" s="101"/>
      <c r="QEG22" s="101"/>
      <c r="QEH22" s="101"/>
      <c r="QEI22" s="101"/>
      <c r="QEJ22" s="101"/>
      <c r="QEK22" s="101"/>
      <c r="QEL22" s="101"/>
      <c r="QEM22" s="101"/>
      <c r="QEN22" s="101"/>
      <c r="QEO22" s="101"/>
      <c r="QEP22" s="101"/>
      <c r="QEQ22" s="101"/>
      <c r="QER22" s="101"/>
      <c r="QES22" s="101"/>
      <c r="QET22" s="101"/>
      <c r="QEU22" s="101"/>
      <c r="QEV22" s="101"/>
      <c r="QEW22" s="101"/>
      <c r="QEX22" s="101"/>
      <c r="QEY22" s="101"/>
      <c r="QEZ22" s="101"/>
      <c r="QFA22" s="101"/>
      <c r="QFB22" s="101"/>
      <c r="QFC22" s="101"/>
      <c r="QFD22" s="101"/>
      <c r="QFE22" s="101"/>
      <c r="QFF22" s="101"/>
      <c r="QFG22" s="101"/>
      <c r="QFH22" s="101"/>
      <c r="QFI22" s="101"/>
      <c r="QFJ22" s="101"/>
      <c r="QFK22" s="101"/>
      <c r="QFL22" s="101"/>
      <c r="QFM22" s="101"/>
      <c r="QFN22" s="101"/>
      <c r="QFO22" s="101"/>
      <c r="QFP22" s="101"/>
      <c r="QFQ22" s="101"/>
      <c r="QFR22" s="101"/>
      <c r="QFS22" s="101"/>
      <c r="QFT22" s="101"/>
      <c r="QFU22" s="101"/>
      <c r="QFV22" s="101"/>
      <c r="QFW22" s="101"/>
      <c r="QFX22" s="101"/>
      <c r="QFY22" s="101"/>
      <c r="QFZ22" s="101"/>
      <c r="QGA22" s="101"/>
      <c r="QGB22" s="101"/>
      <c r="QGC22" s="101"/>
      <c r="QGD22" s="101"/>
      <c r="QGE22" s="101"/>
      <c r="QGF22" s="101"/>
      <c r="QGG22" s="101"/>
      <c r="QGH22" s="101"/>
      <c r="QGI22" s="101"/>
      <c r="QGJ22" s="101"/>
      <c r="QGK22" s="101"/>
      <c r="QGL22" s="101"/>
      <c r="QGM22" s="101"/>
      <c r="QGN22" s="101"/>
      <c r="QGO22" s="101"/>
      <c r="QGP22" s="101"/>
      <c r="QGQ22" s="101"/>
      <c r="QGR22" s="101"/>
      <c r="QGS22" s="101"/>
      <c r="QGT22" s="101"/>
      <c r="QGU22" s="101"/>
      <c r="QGV22" s="101"/>
      <c r="QGW22" s="101"/>
      <c r="QGX22" s="101"/>
      <c r="QGY22" s="101"/>
      <c r="QGZ22" s="101"/>
      <c r="QHA22" s="101"/>
      <c r="QHB22" s="101"/>
      <c r="QHC22" s="101"/>
      <c r="QHD22" s="101"/>
      <c r="QHE22" s="101"/>
      <c r="QHF22" s="101"/>
      <c r="QHG22" s="101"/>
      <c r="QHH22" s="101"/>
      <c r="QHI22" s="101"/>
      <c r="QHJ22" s="101"/>
      <c r="QHK22" s="101"/>
      <c r="QHL22" s="101"/>
      <c r="QHM22" s="101"/>
      <c r="QHN22" s="101"/>
      <c r="QHO22" s="101"/>
      <c r="QHP22" s="101"/>
      <c r="QHQ22" s="101"/>
      <c r="QHR22" s="101"/>
      <c r="QHS22" s="101"/>
      <c r="QHT22" s="101"/>
      <c r="QHU22" s="101"/>
      <c r="QHV22" s="101"/>
      <c r="QHW22" s="101"/>
      <c r="QHX22" s="101"/>
      <c r="QHY22" s="101"/>
      <c r="QHZ22" s="101"/>
      <c r="QIA22" s="101"/>
      <c r="QIB22" s="101"/>
      <c r="QIC22" s="101"/>
      <c r="QID22" s="101"/>
      <c r="QIE22" s="101"/>
      <c r="QIF22" s="101"/>
      <c r="QIG22" s="101"/>
      <c r="QIH22" s="101"/>
      <c r="QII22" s="101"/>
      <c r="QIJ22" s="101"/>
      <c r="QIK22" s="101"/>
      <c r="QIL22" s="101"/>
      <c r="QIM22" s="101"/>
      <c r="QIN22" s="101"/>
      <c r="QIO22" s="101"/>
      <c r="QIP22" s="101"/>
      <c r="QIQ22" s="101"/>
      <c r="QIR22" s="101"/>
      <c r="QIS22" s="101"/>
      <c r="QIT22" s="101"/>
      <c r="QIU22" s="101"/>
      <c r="QIV22" s="101"/>
      <c r="QIW22" s="101"/>
      <c r="QIX22" s="101"/>
      <c r="QIY22" s="101"/>
      <c r="QIZ22" s="101"/>
      <c r="QJA22" s="101"/>
      <c r="QJB22" s="101"/>
      <c r="QJC22" s="101"/>
      <c r="QJD22" s="101"/>
      <c r="QJE22" s="101"/>
      <c r="QJF22" s="101"/>
      <c r="QJG22" s="101"/>
      <c r="QJH22" s="101"/>
      <c r="QJI22" s="101"/>
      <c r="QJJ22" s="101"/>
      <c r="QJK22" s="101"/>
      <c r="QJL22" s="101"/>
      <c r="QJM22" s="101"/>
      <c r="QJN22" s="101"/>
      <c r="QJO22" s="101"/>
      <c r="QJP22" s="101"/>
      <c r="QJQ22" s="101"/>
      <c r="QJR22" s="101"/>
      <c r="QJS22" s="101"/>
      <c r="QJT22" s="101"/>
      <c r="QJU22" s="101"/>
      <c r="QJV22" s="101"/>
      <c r="QJW22" s="101"/>
      <c r="QJX22" s="101"/>
      <c r="QJY22" s="101"/>
      <c r="QJZ22" s="101"/>
      <c r="QKA22" s="101"/>
      <c r="QKB22" s="101"/>
      <c r="QKC22" s="101"/>
      <c r="QKD22" s="101"/>
      <c r="QKE22" s="101"/>
      <c r="QKF22" s="101"/>
      <c r="QKG22" s="101"/>
      <c r="QKH22" s="101"/>
      <c r="QKI22" s="101"/>
      <c r="QKJ22" s="101"/>
      <c r="QKK22" s="101"/>
      <c r="QKL22" s="101"/>
      <c r="QKM22" s="101"/>
      <c r="QKN22" s="101"/>
      <c r="QKO22" s="101"/>
      <c r="QKP22" s="101"/>
      <c r="QKQ22" s="101"/>
      <c r="QKR22" s="101"/>
      <c r="QKS22" s="101"/>
      <c r="QKT22" s="101"/>
      <c r="QKU22" s="101"/>
      <c r="QKV22" s="101"/>
      <c r="QKW22" s="101"/>
      <c r="QKX22" s="101"/>
      <c r="QKY22" s="101"/>
      <c r="QKZ22" s="101"/>
      <c r="QLA22" s="101"/>
      <c r="QLB22" s="101"/>
      <c r="QLC22" s="101"/>
      <c r="QLD22" s="101"/>
      <c r="QLE22" s="101"/>
      <c r="QLF22" s="101"/>
      <c r="QLG22" s="101"/>
      <c r="QLH22" s="101"/>
      <c r="QLI22" s="101"/>
      <c r="QLJ22" s="101"/>
      <c r="QLK22" s="101"/>
      <c r="QLL22" s="101"/>
      <c r="QLM22" s="101"/>
      <c r="QLN22" s="101"/>
      <c r="QLO22" s="101"/>
      <c r="QLP22" s="101"/>
      <c r="QLQ22" s="101"/>
      <c r="QLR22" s="101"/>
      <c r="QLS22" s="101"/>
      <c r="QLT22" s="101"/>
      <c r="QLU22" s="101"/>
      <c r="QLV22" s="101"/>
      <c r="QLW22" s="101"/>
      <c r="QLX22" s="101"/>
      <c r="QLY22" s="101"/>
      <c r="QLZ22" s="101"/>
      <c r="QMA22" s="101"/>
      <c r="QMB22" s="101"/>
      <c r="QMC22" s="101"/>
      <c r="QMD22" s="101"/>
      <c r="QME22" s="101"/>
      <c r="QMF22" s="101"/>
      <c r="QMG22" s="101"/>
      <c r="QMH22" s="101"/>
      <c r="QMI22" s="101"/>
      <c r="QMJ22" s="101"/>
      <c r="QMK22" s="101"/>
      <c r="QML22" s="101"/>
      <c r="QMM22" s="101"/>
      <c r="QMN22" s="101"/>
      <c r="QMO22" s="101"/>
      <c r="QMP22" s="101"/>
      <c r="QMQ22" s="101"/>
      <c r="QMR22" s="101"/>
      <c r="QMS22" s="101"/>
      <c r="QMT22" s="101"/>
      <c r="QMU22" s="101"/>
      <c r="QMV22" s="101"/>
      <c r="QMW22" s="101"/>
      <c r="QMX22" s="101"/>
      <c r="QMY22" s="101"/>
      <c r="QMZ22" s="101"/>
      <c r="QNA22" s="101"/>
      <c r="QNB22" s="101"/>
      <c r="QNC22" s="101"/>
      <c r="QND22" s="101"/>
      <c r="QNE22" s="101"/>
      <c r="QNF22" s="101"/>
      <c r="QNG22" s="101"/>
      <c r="QNH22" s="101"/>
      <c r="QNI22" s="101"/>
      <c r="QNJ22" s="101"/>
      <c r="QNK22" s="101"/>
      <c r="QNL22" s="101"/>
      <c r="QNM22" s="101"/>
      <c r="QNN22" s="101"/>
      <c r="QNO22" s="101"/>
      <c r="QNP22" s="101"/>
      <c r="QNQ22" s="101"/>
      <c r="QNR22" s="101"/>
      <c r="QNS22" s="101"/>
      <c r="QNT22" s="101"/>
      <c r="QNU22" s="101"/>
      <c r="QNV22" s="101"/>
      <c r="QNW22" s="101"/>
      <c r="QNX22" s="101"/>
      <c r="QNY22" s="101"/>
      <c r="QNZ22" s="101"/>
      <c r="QOA22" s="101"/>
      <c r="QOB22" s="101"/>
      <c r="QOC22" s="101"/>
      <c r="QOD22" s="101"/>
      <c r="QOE22" s="101"/>
      <c r="QOF22" s="101"/>
      <c r="QOG22" s="101"/>
      <c r="QOH22" s="101"/>
      <c r="QOI22" s="101"/>
      <c r="QOJ22" s="101"/>
      <c r="QOK22" s="101"/>
      <c r="QOL22" s="101"/>
      <c r="QOM22" s="101"/>
      <c r="QON22" s="101"/>
      <c r="QOO22" s="101"/>
      <c r="QOP22" s="101"/>
      <c r="QOQ22" s="101"/>
      <c r="QOR22" s="101"/>
      <c r="QOS22" s="101"/>
      <c r="QOT22" s="101"/>
      <c r="QOU22" s="101"/>
      <c r="QOV22" s="101"/>
      <c r="QOW22" s="101"/>
      <c r="QOX22" s="101"/>
      <c r="QOY22" s="101"/>
      <c r="QOZ22" s="101"/>
      <c r="QPA22" s="101"/>
      <c r="QPB22" s="101"/>
      <c r="QPC22" s="101"/>
      <c r="QPD22" s="101"/>
      <c r="QPE22" s="101"/>
      <c r="QPF22" s="101"/>
      <c r="QPG22" s="101"/>
      <c r="QPH22" s="101"/>
      <c r="QPI22" s="101"/>
      <c r="QPJ22" s="101"/>
      <c r="QPK22" s="101"/>
      <c r="QPL22" s="101"/>
      <c r="QPM22" s="101"/>
      <c r="QPN22" s="101"/>
      <c r="QPO22" s="101"/>
      <c r="QPP22" s="101"/>
      <c r="QPQ22" s="101"/>
      <c r="QPR22" s="101"/>
      <c r="QPS22" s="101"/>
      <c r="QPT22" s="101"/>
      <c r="QPU22" s="101"/>
      <c r="QPV22" s="101"/>
      <c r="QPW22" s="101"/>
      <c r="QPX22" s="101"/>
      <c r="QPY22" s="101"/>
      <c r="QPZ22" s="101"/>
      <c r="QQA22" s="101"/>
      <c r="QQB22" s="101"/>
      <c r="QQC22" s="101"/>
      <c r="QQD22" s="101"/>
      <c r="QQE22" s="101"/>
      <c r="QQF22" s="101"/>
      <c r="QQG22" s="101"/>
      <c r="QQH22" s="101"/>
      <c r="QQI22" s="101"/>
      <c r="QQJ22" s="101"/>
      <c r="QQK22" s="101"/>
      <c r="QQL22" s="101"/>
      <c r="QQM22" s="101"/>
      <c r="QQN22" s="101"/>
      <c r="QQO22" s="101"/>
      <c r="QQP22" s="101"/>
      <c r="QQQ22" s="101"/>
      <c r="QQR22" s="101"/>
      <c r="QQS22" s="101"/>
      <c r="QQT22" s="101"/>
      <c r="QQU22" s="101"/>
      <c r="QQV22" s="101"/>
      <c r="QQW22" s="101"/>
      <c r="QQX22" s="101"/>
      <c r="QQY22" s="101"/>
      <c r="QQZ22" s="101"/>
      <c r="QRA22" s="101"/>
      <c r="QRB22" s="101"/>
      <c r="QRC22" s="101"/>
      <c r="QRD22" s="101"/>
      <c r="QRE22" s="101"/>
      <c r="QRF22" s="101"/>
      <c r="QRG22" s="101"/>
      <c r="QRH22" s="101"/>
      <c r="QRI22" s="101"/>
      <c r="QRJ22" s="101"/>
      <c r="QRK22" s="101"/>
      <c r="QRL22" s="101"/>
      <c r="QRM22" s="101"/>
      <c r="QRN22" s="101"/>
      <c r="QRO22" s="101"/>
      <c r="QRP22" s="101"/>
      <c r="QRQ22" s="101"/>
      <c r="QRR22" s="101"/>
      <c r="QRS22" s="101"/>
      <c r="QRT22" s="101"/>
      <c r="QRU22" s="101"/>
      <c r="QRV22" s="101"/>
      <c r="QRW22" s="101"/>
      <c r="QRX22" s="101"/>
      <c r="QRY22" s="101"/>
      <c r="QRZ22" s="101"/>
      <c r="QSA22" s="101"/>
      <c r="QSB22" s="101"/>
      <c r="QSC22" s="101"/>
      <c r="QSD22" s="101"/>
      <c r="QSE22" s="101"/>
      <c r="QSF22" s="101"/>
      <c r="QSG22" s="101"/>
      <c r="QSH22" s="101"/>
      <c r="QSI22" s="101"/>
      <c r="QSJ22" s="101"/>
      <c r="QSK22" s="101"/>
      <c r="QSL22" s="101"/>
      <c r="QSM22" s="101"/>
      <c r="QSN22" s="101"/>
      <c r="QSO22" s="101"/>
      <c r="QSP22" s="101"/>
      <c r="QSQ22" s="101"/>
      <c r="QSR22" s="101"/>
      <c r="QSS22" s="101"/>
      <c r="QST22" s="101"/>
      <c r="QSU22" s="101"/>
      <c r="QSV22" s="101"/>
      <c r="QSW22" s="101"/>
      <c r="QSX22" s="101"/>
      <c r="QSY22" s="101"/>
      <c r="QSZ22" s="101"/>
      <c r="QTA22" s="101"/>
      <c r="QTB22" s="101"/>
      <c r="QTC22" s="101"/>
      <c r="QTD22" s="101"/>
      <c r="QTE22" s="101"/>
      <c r="QTF22" s="101"/>
      <c r="QTG22" s="101"/>
      <c r="QTH22" s="101"/>
      <c r="QTI22" s="101"/>
      <c r="QTJ22" s="101"/>
      <c r="QTK22" s="101"/>
      <c r="QTL22" s="101"/>
      <c r="QTM22" s="101"/>
      <c r="QTN22" s="101"/>
      <c r="QTO22" s="101"/>
      <c r="QTP22" s="101"/>
      <c r="QTQ22" s="101"/>
      <c r="QTR22" s="101"/>
      <c r="QTS22" s="101"/>
      <c r="QTT22" s="101"/>
      <c r="QTU22" s="101"/>
      <c r="QTV22" s="101"/>
      <c r="QTW22" s="101"/>
      <c r="QTX22" s="101"/>
      <c r="QTY22" s="101"/>
      <c r="QTZ22" s="101"/>
      <c r="QUA22" s="101"/>
      <c r="QUB22" s="101"/>
      <c r="QUC22" s="101"/>
      <c r="QUD22" s="101"/>
      <c r="QUE22" s="101"/>
      <c r="QUF22" s="101"/>
      <c r="QUG22" s="101"/>
      <c r="QUH22" s="101"/>
      <c r="QUI22" s="101"/>
      <c r="QUJ22" s="101"/>
      <c r="QUK22" s="101"/>
      <c r="QUL22" s="101"/>
      <c r="QUM22" s="101"/>
      <c r="QUN22" s="101"/>
      <c r="QUO22" s="101"/>
      <c r="QUP22" s="101"/>
      <c r="QUQ22" s="101"/>
      <c r="QUR22" s="101"/>
      <c r="QUS22" s="101"/>
      <c r="QUT22" s="101"/>
      <c r="QUU22" s="101"/>
      <c r="QUV22" s="101"/>
      <c r="QUW22" s="101"/>
      <c r="QUX22" s="101"/>
      <c r="QUY22" s="101"/>
      <c r="QUZ22" s="101"/>
      <c r="QVA22" s="101"/>
      <c r="QVB22" s="101"/>
      <c r="QVC22" s="101"/>
      <c r="QVD22" s="101"/>
      <c r="QVE22" s="101"/>
      <c r="QVF22" s="101"/>
      <c r="QVG22" s="101"/>
      <c r="QVH22" s="101"/>
      <c r="QVI22" s="101"/>
      <c r="QVJ22" s="101"/>
      <c r="QVK22" s="101"/>
      <c r="QVL22" s="101"/>
      <c r="QVM22" s="101"/>
      <c r="QVN22" s="101"/>
      <c r="QVO22" s="101"/>
      <c r="QVP22" s="101"/>
      <c r="QVQ22" s="101"/>
      <c r="QVR22" s="101"/>
      <c r="QVS22" s="101"/>
      <c r="QVT22" s="101"/>
      <c r="QVU22" s="101"/>
      <c r="QVV22" s="101"/>
      <c r="QVW22" s="101"/>
      <c r="QVX22" s="101"/>
      <c r="QVY22" s="101"/>
      <c r="QVZ22" s="101"/>
      <c r="QWA22" s="101"/>
      <c r="QWB22" s="101"/>
      <c r="QWC22" s="101"/>
      <c r="QWD22" s="101"/>
      <c r="QWE22" s="101"/>
      <c r="QWF22" s="101"/>
      <c r="QWG22" s="101"/>
      <c r="QWH22" s="101"/>
      <c r="QWI22" s="101"/>
      <c r="QWJ22" s="101"/>
      <c r="QWK22" s="101"/>
      <c r="QWL22" s="101"/>
      <c r="QWM22" s="101"/>
      <c r="QWN22" s="101"/>
      <c r="QWO22" s="101"/>
      <c r="QWP22" s="101"/>
      <c r="QWQ22" s="101"/>
      <c r="QWR22" s="101"/>
      <c r="QWS22" s="101"/>
      <c r="QWT22" s="101"/>
      <c r="QWU22" s="101"/>
      <c r="QWV22" s="101"/>
      <c r="QWW22" s="101"/>
      <c r="QWX22" s="101"/>
      <c r="QWY22" s="101"/>
      <c r="QWZ22" s="101"/>
      <c r="QXA22" s="101"/>
      <c r="QXB22" s="101"/>
      <c r="QXC22" s="101"/>
      <c r="QXD22" s="101"/>
      <c r="QXE22" s="101"/>
      <c r="QXF22" s="101"/>
      <c r="QXG22" s="101"/>
      <c r="QXH22" s="101"/>
      <c r="QXI22" s="101"/>
      <c r="QXJ22" s="101"/>
      <c r="QXK22" s="101"/>
      <c r="QXL22" s="101"/>
      <c r="QXM22" s="101"/>
      <c r="QXN22" s="101"/>
      <c r="QXO22" s="101"/>
      <c r="QXP22" s="101"/>
      <c r="QXQ22" s="101"/>
      <c r="QXR22" s="101"/>
      <c r="QXS22" s="101"/>
      <c r="QXT22" s="101"/>
      <c r="QXU22" s="101"/>
      <c r="QXV22" s="101"/>
      <c r="QXW22" s="101"/>
      <c r="QXX22" s="101"/>
      <c r="QXY22" s="101"/>
      <c r="QXZ22" s="101"/>
      <c r="QYA22" s="101"/>
      <c r="QYB22" s="101"/>
      <c r="QYC22" s="101"/>
      <c r="QYD22" s="101"/>
      <c r="QYE22" s="101"/>
      <c r="QYF22" s="101"/>
      <c r="QYG22" s="101"/>
      <c r="QYH22" s="101"/>
      <c r="QYI22" s="101"/>
      <c r="QYJ22" s="101"/>
      <c r="QYK22" s="101"/>
      <c r="QYL22" s="101"/>
      <c r="QYM22" s="101"/>
      <c r="QYN22" s="101"/>
      <c r="QYO22" s="101"/>
      <c r="QYP22" s="101"/>
      <c r="QYQ22" s="101"/>
      <c r="QYR22" s="101"/>
      <c r="QYS22" s="101"/>
      <c r="QYT22" s="101"/>
      <c r="QYU22" s="101"/>
      <c r="QYV22" s="101"/>
      <c r="QYW22" s="101"/>
      <c r="QYX22" s="101"/>
      <c r="QYY22" s="101"/>
      <c r="QYZ22" s="101"/>
      <c r="QZA22" s="101"/>
      <c r="QZB22" s="101"/>
      <c r="QZC22" s="101"/>
      <c r="QZD22" s="101"/>
      <c r="QZE22" s="101"/>
      <c r="QZF22" s="101"/>
      <c r="QZG22" s="101"/>
      <c r="QZH22" s="101"/>
      <c r="QZI22" s="101"/>
      <c r="QZJ22" s="101"/>
      <c r="QZK22" s="101"/>
      <c r="QZL22" s="101"/>
      <c r="QZM22" s="101"/>
      <c r="QZN22" s="101"/>
      <c r="QZO22" s="101"/>
      <c r="QZP22" s="101"/>
      <c r="QZQ22" s="101"/>
      <c r="QZR22" s="101"/>
      <c r="QZS22" s="101"/>
      <c r="QZT22" s="101"/>
      <c r="QZU22" s="101"/>
      <c r="QZV22" s="101"/>
      <c r="QZW22" s="101"/>
      <c r="QZX22" s="101"/>
      <c r="QZY22" s="101"/>
      <c r="QZZ22" s="101"/>
      <c r="RAA22" s="101"/>
      <c r="RAB22" s="101"/>
      <c r="RAC22" s="101"/>
      <c r="RAD22" s="101"/>
      <c r="RAE22" s="101"/>
      <c r="RAF22" s="101"/>
      <c r="RAG22" s="101"/>
      <c r="RAH22" s="101"/>
      <c r="RAI22" s="101"/>
      <c r="RAJ22" s="101"/>
      <c r="RAK22" s="101"/>
      <c r="RAL22" s="101"/>
      <c r="RAM22" s="101"/>
      <c r="RAN22" s="101"/>
      <c r="RAO22" s="101"/>
      <c r="RAP22" s="101"/>
      <c r="RAQ22" s="101"/>
      <c r="RAR22" s="101"/>
      <c r="RAS22" s="101"/>
      <c r="RAT22" s="101"/>
      <c r="RAU22" s="101"/>
      <c r="RAV22" s="101"/>
      <c r="RAW22" s="101"/>
      <c r="RAX22" s="101"/>
      <c r="RAY22" s="101"/>
      <c r="RAZ22" s="101"/>
      <c r="RBA22" s="101"/>
      <c r="RBB22" s="101"/>
      <c r="RBC22" s="101"/>
      <c r="RBD22" s="101"/>
      <c r="RBE22" s="101"/>
      <c r="RBF22" s="101"/>
      <c r="RBG22" s="101"/>
      <c r="RBH22" s="101"/>
      <c r="RBI22" s="101"/>
      <c r="RBJ22" s="101"/>
      <c r="RBK22" s="101"/>
      <c r="RBL22" s="101"/>
      <c r="RBM22" s="101"/>
      <c r="RBN22" s="101"/>
      <c r="RBO22" s="101"/>
      <c r="RBP22" s="101"/>
      <c r="RBQ22" s="101"/>
      <c r="RBR22" s="101"/>
      <c r="RBS22" s="101"/>
      <c r="RBT22" s="101"/>
      <c r="RBU22" s="101"/>
      <c r="RBV22" s="101"/>
      <c r="RBW22" s="101"/>
      <c r="RBX22" s="101"/>
      <c r="RBY22" s="101"/>
      <c r="RBZ22" s="101"/>
      <c r="RCA22" s="101"/>
      <c r="RCB22" s="101"/>
      <c r="RCC22" s="101"/>
      <c r="RCD22" s="101"/>
      <c r="RCE22" s="101"/>
      <c r="RCF22" s="101"/>
      <c r="RCG22" s="101"/>
      <c r="RCH22" s="101"/>
      <c r="RCI22" s="101"/>
      <c r="RCJ22" s="101"/>
      <c r="RCK22" s="101"/>
      <c r="RCL22" s="101"/>
      <c r="RCM22" s="101"/>
      <c r="RCN22" s="101"/>
      <c r="RCO22" s="101"/>
      <c r="RCP22" s="101"/>
      <c r="RCQ22" s="101"/>
      <c r="RCR22" s="101"/>
      <c r="RCS22" s="101"/>
      <c r="RCT22" s="101"/>
      <c r="RCU22" s="101"/>
      <c r="RCV22" s="101"/>
      <c r="RCW22" s="101"/>
      <c r="RCX22" s="101"/>
      <c r="RCY22" s="101"/>
      <c r="RCZ22" s="101"/>
      <c r="RDA22" s="101"/>
      <c r="RDB22" s="101"/>
      <c r="RDC22" s="101"/>
      <c r="RDD22" s="101"/>
      <c r="RDE22" s="101"/>
      <c r="RDF22" s="101"/>
      <c r="RDG22" s="101"/>
      <c r="RDH22" s="101"/>
      <c r="RDI22" s="101"/>
      <c r="RDJ22" s="101"/>
      <c r="RDK22" s="101"/>
      <c r="RDL22" s="101"/>
      <c r="RDM22" s="101"/>
      <c r="RDN22" s="101"/>
      <c r="RDO22" s="101"/>
      <c r="RDP22" s="101"/>
      <c r="RDQ22" s="101"/>
      <c r="RDR22" s="101"/>
      <c r="RDS22" s="101"/>
      <c r="RDT22" s="101"/>
      <c r="RDU22" s="101"/>
      <c r="RDV22" s="101"/>
      <c r="RDW22" s="101"/>
      <c r="RDX22" s="101"/>
      <c r="RDY22" s="101"/>
      <c r="RDZ22" s="101"/>
      <c r="REA22" s="101"/>
      <c r="REB22" s="101"/>
      <c r="REC22" s="101"/>
      <c r="RED22" s="101"/>
      <c r="REE22" s="101"/>
      <c r="REF22" s="101"/>
      <c r="REG22" s="101"/>
      <c r="REH22" s="101"/>
      <c r="REI22" s="101"/>
      <c r="REJ22" s="101"/>
      <c r="REK22" s="101"/>
      <c r="REL22" s="101"/>
      <c r="REM22" s="101"/>
      <c r="REN22" s="101"/>
      <c r="REO22" s="101"/>
      <c r="REP22" s="101"/>
      <c r="REQ22" s="101"/>
      <c r="RER22" s="101"/>
      <c r="RES22" s="101"/>
      <c r="RET22" s="101"/>
      <c r="REU22" s="101"/>
      <c r="REV22" s="101"/>
      <c r="REW22" s="101"/>
      <c r="REX22" s="101"/>
      <c r="REY22" s="101"/>
      <c r="REZ22" s="101"/>
      <c r="RFA22" s="101"/>
      <c r="RFB22" s="101"/>
      <c r="RFC22" s="101"/>
      <c r="RFD22" s="101"/>
      <c r="RFE22" s="101"/>
      <c r="RFF22" s="101"/>
      <c r="RFG22" s="101"/>
      <c r="RFH22" s="101"/>
      <c r="RFI22" s="101"/>
      <c r="RFJ22" s="101"/>
      <c r="RFK22" s="101"/>
      <c r="RFL22" s="101"/>
      <c r="RFM22" s="101"/>
      <c r="RFN22" s="101"/>
      <c r="RFO22" s="101"/>
      <c r="RFP22" s="101"/>
      <c r="RFQ22" s="101"/>
      <c r="RFR22" s="101"/>
      <c r="RFS22" s="101"/>
      <c r="RFT22" s="101"/>
      <c r="RFU22" s="101"/>
      <c r="RFV22" s="101"/>
      <c r="RFW22" s="101"/>
      <c r="RFX22" s="101"/>
      <c r="RFY22" s="101"/>
      <c r="RFZ22" s="101"/>
      <c r="RGA22" s="101"/>
      <c r="RGB22" s="101"/>
      <c r="RGC22" s="101"/>
      <c r="RGD22" s="101"/>
      <c r="RGE22" s="101"/>
      <c r="RGF22" s="101"/>
      <c r="RGG22" s="101"/>
      <c r="RGH22" s="101"/>
      <c r="RGI22" s="101"/>
      <c r="RGJ22" s="101"/>
      <c r="RGK22" s="101"/>
      <c r="RGL22" s="101"/>
      <c r="RGM22" s="101"/>
      <c r="RGN22" s="101"/>
      <c r="RGO22" s="101"/>
      <c r="RGP22" s="101"/>
      <c r="RGQ22" s="101"/>
      <c r="RGR22" s="101"/>
      <c r="RGS22" s="101"/>
      <c r="RGT22" s="101"/>
      <c r="RGU22" s="101"/>
      <c r="RGV22" s="101"/>
      <c r="RGW22" s="101"/>
      <c r="RGX22" s="101"/>
      <c r="RGY22" s="101"/>
      <c r="RGZ22" s="101"/>
      <c r="RHA22" s="101"/>
      <c r="RHB22" s="101"/>
      <c r="RHC22" s="101"/>
      <c r="RHD22" s="101"/>
      <c r="RHE22" s="101"/>
      <c r="RHF22" s="101"/>
      <c r="RHG22" s="101"/>
      <c r="RHH22" s="101"/>
      <c r="RHI22" s="101"/>
      <c r="RHJ22" s="101"/>
      <c r="RHK22" s="101"/>
      <c r="RHL22" s="101"/>
      <c r="RHM22" s="101"/>
      <c r="RHN22" s="101"/>
      <c r="RHO22" s="101"/>
      <c r="RHP22" s="101"/>
      <c r="RHQ22" s="101"/>
      <c r="RHR22" s="101"/>
      <c r="RHS22" s="101"/>
      <c r="RHT22" s="101"/>
      <c r="RHU22" s="101"/>
      <c r="RHV22" s="101"/>
      <c r="RHW22" s="101"/>
      <c r="RHX22" s="101"/>
      <c r="RHY22" s="101"/>
      <c r="RHZ22" s="101"/>
      <c r="RIA22" s="101"/>
      <c r="RIB22" s="101"/>
      <c r="RIC22" s="101"/>
      <c r="RID22" s="101"/>
      <c r="RIE22" s="101"/>
      <c r="RIF22" s="101"/>
      <c r="RIG22" s="101"/>
      <c r="RIH22" s="101"/>
      <c r="RII22" s="101"/>
      <c r="RIJ22" s="101"/>
      <c r="RIK22" s="101"/>
      <c r="RIL22" s="101"/>
      <c r="RIM22" s="101"/>
      <c r="RIN22" s="101"/>
      <c r="RIO22" s="101"/>
      <c r="RIP22" s="101"/>
      <c r="RIQ22" s="101"/>
      <c r="RIR22" s="101"/>
      <c r="RIS22" s="101"/>
      <c r="RIT22" s="101"/>
      <c r="RIU22" s="101"/>
      <c r="RIV22" s="101"/>
      <c r="RIW22" s="101"/>
      <c r="RIX22" s="101"/>
      <c r="RIY22" s="101"/>
      <c r="RIZ22" s="101"/>
      <c r="RJA22" s="101"/>
      <c r="RJB22" s="101"/>
      <c r="RJC22" s="101"/>
      <c r="RJD22" s="101"/>
      <c r="RJE22" s="101"/>
      <c r="RJF22" s="101"/>
      <c r="RJG22" s="101"/>
      <c r="RJH22" s="101"/>
      <c r="RJI22" s="101"/>
      <c r="RJJ22" s="101"/>
      <c r="RJK22" s="101"/>
      <c r="RJL22" s="101"/>
      <c r="RJM22" s="101"/>
      <c r="RJN22" s="101"/>
      <c r="RJO22" s="101"/>
      <c r="RJP22" s="101"/>
      <c r="RJQ22" s="101"/>
      <c r="RJR22" s="101"/>
      <c r="RJS22" s="101"/>
      <c r="RJT22" s="101"/>
      <c r="RJU22" s="101"/>
      <c r="RJV22" s="101"/>
      <c r="RJW22" s="101"/>
      <c r="RJX22" s="101"/>
      <c r="RJY22" s="101"/>
      <c r="RJZ22" s="101"/>
      <c r="RKA22" s="101"/>
      <c r="RKB22" s="101"/>
      <c r="RKC22" s="101"/>
      <c r="RKD22" s="101"/>
      <c r="RKE22" s="101"/>
      <c r="RKF22" s="101"/>
      <c r="RKG22" s="101"/>
      <c r="RKH22" s="101"/>
      <c r="RKI22" s="101"/>
      <c r="RKJ22" s="101"/>
      <c r="RKK22" s="101"/>
      <c r="RKL22" s="101"/>
      <c r="RKM22" s="101"/>
      <c r="RKN22" s="101"/>
      <c r="RKO22" s="101"/>
      <c r="RKP22" s="101"/>
      <c r="RKQ22" s="101"/>
      <c r="RKR22" s="101"/>
      <c r="RKS22" s="101"/>
      <c r="RKT22" s="101"/>
      <c r="RKU22" s="101"/>
      <c r="RKV22" s="101"/>
      <c r="RKW22" s="101"/>
      <c r="RKX22" s="101"/>
      <c r="RKY22" s="101"/>
      <c r="RKZ22" s="101"/>
      <c r="RLA22" s="101"/>
      <c r="RLB22" s="101"/>
      <c r="RLC22" s="101"/>
      <c r="RLD22" s="101"/>
      <c r="RLE22" s="101"/>
      <c r="RLF22" s="101"/>
      <c r="RLG22" s="101"/>
      <c r="RLH22" s="101"/>
      <c r="RLI22" s="101"/>
      <c r="RLJ22" s="101"/>
      <c r="RLK22" s="101"/>
      <c r="RLL22" s="101"/>
      <c r="RLM22" s="101"/>
      <c r="RLN22" s="101"/>
      <c r="RLO22" s="101"/>
      <c r="RLP22" s="101"/>
      <c r="RLQ22" s="101"/>
      <c r="RLR22" s="101"/>
      <c r="RLS22" s="101"/>
      <c r="RLT22" s="101"/>
      <c r="RLU22" s="101"/>
      <c r="RLV22" s="101"/>
      <c r="RLW22" s="101"/>
      <c r="RLX22" s="101"/>
      <c r="RLY22" s="101"/>
      <c r="RLZ22" s="101"/>
      <c r="RMA22" s="101"/>
      <c r="RMB22" s="101"/>
      <c r="RMC22" s="101"/>
      <c r="RMD22" s="101"/>
      <c r="RME22" s="101"/>
      <c r="RMF22" s="101"/>
      <c r="RMG22" s="101"/>
      <c r="RMH22" s="101"/>
      <c r="RMI22" s="101"/>
      <c r="RMJ22" s="101"/>
      <c r="RMK22" s="101"/>
      <c r="RML22" s="101"/>
      <c r="RMM22" s="101"/>
      <c r="RMN22" s="101"/>
      <c r="RMO22" s="101"/>
      <c r="RMP22" s="101"/>
      <c r="RMQ22" s="101"/>
      <c r="RMR22" s="101"/>
      <c r="RMS22" s="101"/>
      <c r="RMT22" s="101"/>
      <c r="RMU22" s="101"/>
      <c r="RMV22" s="101"/>
      <c r="RMW22" s="101"/>
      <c r="RMX22" s="101"/>
      <c r="RMY22" s="101"/>
      <c r="RMZ22" s="101"/>
      <c r="RNA22" s="101"/>
      <c r="RNB22" s="101"/>
      <c r="RNC22" s="101"/>
      <c r="RND22" s="101"/>
      <c r="RNE22" s="101"/>
      <c r="RNF22" s="101"/>
      <c r="RNG22" s="101"/>
      <c r="RNH22" s="101"/>
      <c r="RNI22" s="101"/>
      <c r="RNJ22" s="101"/>
      <c r="RNK22" s="101"/>
      <c r="RNL22" s="101"/>
      <c r="RNM22" s="101"/>
      <c r="RNN22" s="101"/>
      <c r="RNO22" s="101"/>
      <c r="RNP22" s="101"/>
      <c r="RNQ22" s="101"/>
      <c r="RNR22" s="101"/>
      <c r="RNS22" s="101"/>
      <c r="RNT22" s="101"/>
      <c r="RNU22" s="101"/>
      <c r="RNV22" s="101"/>
      <c r="RNW22" s="101"/>
      <c r="RNX22" s="101"/>
      <c r="RNY22" s="101"/>
      <c r="RNZ22" s="101"/>
      <c r="ROA22" s="101"/>
      <c r="ROB22" s="101"/>
      <c r="ROC22" s="101"/>
      <c r="ROD22" s="101"/>
      <c r="ROE22" s="101"/>
      <c r="ROF22" s="101"/>
      <c r="ROG22" s="101"/>
      <c r="ROH22" s="101"/>
      <c r="ROI22" s="101"/>
      <c r="ROJ22" s="101"/>
      <c r="ROK22" s="101"/>
      <c r="ROL22" s="101"/>
      <c r="ROM22" s="101"/>
      <c r="RON22" s="101"/>
      <c r="ROO22" s="101"/>
      <c r="ROP22" s="101"/>
      <c r="ROQ22" s="101"/>
      <c r="ROR22" s="101"/>
      <c r="ROS22" s="101"/>
      <c r="ROT22" s="101"/>
      <c r="ROU22" s="101"/>
      <c r="ROV22" s="101"/>
      <c r="ROW22" s="101"/>
      <c r="ROX22" s="101"/>
      <c r="ROY22" s="101"/>
      <c r="ROZ22" s="101"/>
      <c r="RPA22" s="101"/>
      <c r="RPB22" s="101"/>
      <c r="RPC22" s="101"/>
      <c r="RPD22" s="101"/>
      <c r="RPE22" s="101"/>
      <c r="RPF22" s="101"/>
      <c r="RPG22" s="101"/>
      <c r="RPH22" s="101"/>
      <c r="RPI22" s="101"/>
      <c r="RPJ22" s="101"/>
      <c r="RPK22" s="101"/>
      <c r="RPL22" s="101"/>
      <c r="RPM22" s="101"/>
      <c r="RPN22" s="101"/>
      <c r="RPO22" s="101"/>
      <c r="RPP22" s="101"/>
      <c r="RPQ22" s="101"/>
      <c r="RPR22" s="101"/>
      <c r="RPS22" s="101"/>
      <c r="RPT22" s="101"/>
      <c r="RPU22" s="101"/>
      <c r="RPV22" s="101"/>
      <c r="RPW22" s="101"/>
      <c r="RPX22" s="101"/>
      <c r="RPY22" s="101"/>
      <c r="RPZ22" s="101"/>
      <c r="RQA22" s="101"/>
      <c r="RQB22" s="101"/>
      <c r="RQC22" s="101"/>
      <c r="RQD22" s="101"/>
      <c r="RQE22" s="101"/>
      <c r="RQF22" s="101"/>
      <c r="RQG22" s="101"/>
      <c r="RQH22" s="101"/>
      <c r="RQI22" s="101"/>
      <c r="RQJ22" s="101"/>
      <c r="RQK22" s="101"/>
      <c r="RQL22" s="101"/>
      <c r="RQM22" s="101"/>
      <c r="RQN22" s="101"/>
      <c r="RQO22" s="101"/>
      <c r="RQP22" s="101"/>
      <c r="RQQ22" s="101"/>
      <c r="RQR22" s="101"/>
      <c r="RQS22" s="101"/>
      <c r="RQT22" s="101"/>
      <c r="RQU22" s="101"/>
      <c r="RQV22" s="101"/>
      <c r="RQW22" s="101"/>
      <c r="RQX22" s="101"/>
      <c r="RQY22" s="101"/>
      <c r="RQZ22" s="101"/>
      <c r="RRA22" s="101"/>
      <c r="RRB22" s="101"/>
      <c r="RRC22" s="101"/>
      <c r="RRD22" s="101"/>
      <c r="RRE22" s="101"/>
      <c r="RRF22" s="101"/>
      <c r="RRG22" s="101"/>
      <c r="RRH22" s="101"/>
      <c r="RRI22" s="101"/>
      <c r="RRJ22" s="101"/>
      <c r="RRK22" s="101"/>
      <c r="RRL22" s="101"/>
      <c r="RRM22" s="101"/>
      <c r="RRN22" s="101"/>
      <c r="RRO22" s="101"/>
      <c r="RRP22" s="101"/>
      <c r="RRQ22" s="101"/>
      <c r="RRR22" s="101"/>
      <c r="RRS22" s="101"/>
      <c r="RRT22" s="101"/>
      <c r="RRU22" s="101"/>
      <c r="RRV22" s="101"/>
      <c r="RRW22" s="101"/>
      <c r="RRX22" s="101"/>
      <c r="RRY22" s="101"/>
      <c r="RRZ22" s="101"/>
      <c r="RSA22" s="101"/>
      <c r="RSB22" s="101"/>
      <c r="RSC22" s="101"/>
      <c r="RSD22" s="101"/>
      <c r="RSE22" s="101"/>
      <c r="RSF22" s="101"/>
      <c r="RSG22" s="101"/>
      <c r="RSH22" s="101"/>
      <c r="RSI22" s="101"/>
      <c r="RSJ22" s="101"/>
      <c r="RSK22" s="101"/>
      <c r="RSL22" s="101"/>
      <c r="RSM22" s="101"/>
      <c r="RSN22" s="101"/>
      <c r="RSO22" s="101"/>
      <c r="RSP22" s="101"/>
      <c r="RSQ22" s="101"/>
      <c r="RSR22" s="101"/>
      <c r="RSS22" s="101"/>
      <c r="RST22" s="101"/>
      <c r="RSU22" s="101"/>
      <c r="RSV22" s="101"/>
      <c r="RSW22" s="101"/>
      <c r="RSX22" s="101"/>
      <c r="RSY22" s="101"/>
      <c r="RSZ22" s="101"/>
      <c r="RTA22" s="101"/>
      <c r="RTB22" s="101"/>
      <c r="RTC22" s="101"/>
      <c r="RTD22" s="101"/>
      <c r="RTE22" s="101"/>
      <c r="RTF22" s="101"/>
      <c r="RTG22" s="101"/>
      <c r="RTH22" s="101"/>
      <c r="RTI22" s="101"/>
      <c r="RTJ22" s="101"/>
      <c r="RTK22" s="101"/>
      <c r="RTL22" s="101"/>
      <c r="RTM22" s="101"/>
      <c r="RTN22" s="101"/>
      <c r="RTO22" s="101"/>
      <c r="RTP22" s="101"/>
      <c r="RTQ22" s="101"/>
      <c r="RTR22" s="101"/>
      <c r="RTS22" s="101"/>
      <c r="RTT22" s="101"/>
      <c r="RTU22" s="101"/>
      <c r="RTV22" s="101"/>
      <c r="RTW22" s="101"/>
      <c r="RTX22" s="101"/>
      <c r="RTY22" s="101"/>
      <c r="RTZ22" s="101"/>
      <c r="RUA22" s="101"/>
      <c r="RUB22" s="101"/>
      <c r="RUC22" s="101"/>
      <c r="RUD22" s="101"/>
      <c r="RUE22" s="101"/>
      <c r="RUF22" s="101"/>
      <c r="RUG22" s="101"/>
      <c r="RUH22" s="101"/>
      <c r="RUI22" s="101"/>
      <c r="RUJ22" s="101"/>
      <c r="RUK22" s="101"/>
      <c r="RUL22" s="101"/>
      <c r="RUM22" s="101"/>
      <c r="RUN22" s="101"/>
      <c r="RUO22" s="101"/>
      <c r="RUP22" s="101"/>
      <c r="RUQ22" s="101"/>
      <c r="RUR22" s="101"/>
      <c r="RUS22" s="101"/>
      <c r="RUT22" s="101"/>
      <c r="RUU22" s="101"/>
      <c r="RUV22" s="101"/>
      <c r="RUW22" s="101"/>
      <c r="RUX22" s="101"/>
      <c r="RUY22" s="101"/>
      <c r="RUZ22" s="101"/>
      <c r="RVA22" s="101"/>
      <c r="RVB22" s="101"/>
      <c r="RVC22" s="101"/>
      <c r="RVD22" s="101"/>
      <c r="RVE22" s="101"/>
      <c r="RVF22" s="101"/>
      <c r="RVG22" s="101"/>
      <c r="RVH22" s="101"/>
      <c r="RVI22" s="101"/>
      <c r="RVJ22" s="101"/>
      <c r="RVK22" s="101"/>
      <c r="RVL22" s="101"/>
      <c r="RVM22" s="101"/>
      <c r="RVN22" s="101"/>
      <c r="RVO22" s="101"/>
      <c r="RVP22" s="101"/>
      <c r="RVQ22" s="101"/>
      <c r="RVR22" s="101"/>
      <c r="RVS22" s="101"/>
      <c r="RVT22" s="101"/>
      <c r="RVU22" s="101"/>
      <c r="RVV22" s="101"/>
      <c r="RVW22" s="101"/>
      <c r="RVX22" s="101"/>
      <c r="RVY22" s="101"/>
      <c r="RVZ22" s="101"/>
      <c r="RWA22" s="101"/>
      <c r="RWB22" s="101"/>
      <c r="RWC22" s="101"/>
      <c r="RWD22" s="101"/>
      <c r="RWE22" s="101"/>
      <c r="RWF22" s="101"/>
      <c r="RWG22" s="101"/>
      <c r="RWH22" s="101"/>
      <c r="RWI22" s="101"/>
      <c r="RWJ22" s="101"/>
      <c r="RWK22" s="101"/>
      <c r="RWL22" s="101"/>
      <c r="RWM22" s="101"/>
      <c r="RWN22" s="101"/>
      <c r="RWO22" s="101"/>
      <c r="RWP22" s="101"/>
      <c r="RWQ22" s="101"/>
      <c r="RWR22" s="101"/>
      <c r="RWS22" s="101"/>
      <c r="RWT22" s="101"/>
      <c r="RWU22" s="101"/>
      <c r="RWV22" s="101"/>
      <c r="RWW22" s="101"/>
      <c r="RWX22" s="101"/>
      <c r="RWY22" s="101"/>
      <c r="RWZ22" s="101"/>
      <c r="RXA22" s="101"/>
      <c r="RXB22" s="101"/>
      <c r="RXC22" s="101"/>
      <c r="RXD22" s="101"/>
      <c r="RXE22" s="101"/>
      <c r="RXF22" s="101"/>
      <c r="RXG22" s="101"/>
      <c r="RXH22" s="101"/>
      <c r="RXI22" s="101"/>
      <c r="RXJ22" s="101"/>
      <c r="RXK22" s="101"/>
      <c r="RXL22" s="101"/>
      <c r="RXM22" s="101"/>
      <c r="RXN22" s="101"/>
      <c r="RXO22" s="101"/>
      <c r="RXP22" s="101"/>
      <c r="RXQ22" s="101"/>
      <c r="RXR22" s="101"/>
      <c r="RXS22" s="101"/>
      <c r="RXT22" s="101"/>
      <c r="RXU22" s="101"/>
      <c r="RXV22" s="101"/>
      <c r="RXW22" s="101"/>
      <c r="RXX22" s="101"/>
      <c r="RXY22" s="101"/>
      <c r="RXZ22" s="101"/>
      <c r="RYA22" s="101"/>
      <c r="RYB22" s="101"/>
      <c r="RYC22" s="101"/>
      <c r="RYD22" s="101"/>
      <c r="RYE22" s="101"/>
      <c r="RYF22" s="101"/>
      <c r="RYG22" s="101"/>
      <c r="RYH22" s="101"/>
      <c r="RYI22" s="101"/>
      <c r="RYJ22" s="101"/>
      <c r="RYK22" s="101"/>
      <c r="RYL22" s="101"/>
      <c r="RYM22" s="101"/>
      <c r="RYN22" s="101"/>
      <c r="RYO22" s="101"/>
      <c r="RYP22" s="101"/>
      <c r="RYQ22" s="101"/>
      <c r="RYR22" s="101"/>
      <c r="RYS22" s="101"/>
      <c r="RYT22" s="101"/>
      <c r="RYU22" s="101"/>
      <c r="RYV22" s="101"/>
      <c r="RYW22" s="101"/>
      <c r="RYX22" s="101"/>
      <c r="RYY22" s="101"/>
      <c r="RYZ22" s="101"/>
      <c r="RZA22" s="101"/>
      <c r="RZB22" s="101"/>
      <c r="RZC22" s="101"/>
      <c r="RZD22" s="101"/>
      <c r="RZE22" s="101"/>
      <c r="RZF22" s="101"/>
      <c r="RZG22" s="101"/>
      <c r="RZH22" s="101"/>
      <c r="RZI22" s="101"/>
      <c r="RZJ22" s="101"/>
      <c r="RZK22" s="101"/>
      <c r="RZL22" s="101"/>
      <c r="RZM22" s="101"/>
      <c r="RZN22" s="101"/>
      <c r="RZO22" s="101"/>
      <c r="RZP22" s="101"/>
      <c r="RZQ22" s="101"/>
      <c r="RZR22" s="101"/>
      <c r="RZS22" s="101"/>
      <c r="RZT22" s="101"/>
      <c r="RZU22" s="101"/>
      <c r="RZV22" s="101"/>
      <c r="RZW22" s="101"/>
      <c r="RZX22" s="101"/>
      <c r="RZY22" s="101"/>
      <c r="RZZ22" s="101"/>
      <c r="SAA22" s="101"/>
      <c r="SAB22" s="101"/>
      <c r="SAC22" s="101"/>
      <c r="SAD22" s="101"/>
      <c r="SAE22" s="101"/>
      <c r="SAF22" s="101"/>
      <c r="SAG22" s="101"/>
      <c r="SAH22" s="101"/>
      <c r="SAI22" s="101"/>
      <c r="SAJ22" s="101"/>
      <c r="SAK22" s="101"/>
      <c r="SAL22" s="101"/>
      <c r="SAM22" s="101"/>
      <c r="SAN22" s="101"/>
      <c r="SAO22" s="101"/>
      <c r="SAP22" s="101"/>
      <c r="SAQ22" s="101"/>
      <c r="SAR22" s="101"/>
      <c r="SAS22" s="101"/>
      <c r="SAT22" s="101"/>
      <c r="SAU22" s="101"/>
      <c r="SAV22" s="101"/>
      <c r="SAW22" s="101"/>
      <c r="SAX22" s="101"/>
      <c r="SAY22" s="101"/>
      <c r="SAZ22" s="101"/>
      <c r="SBA22" s="101"/>
      <c r="SBB22" s="101"/>
      <c r="SBC22" s="101"/>
      <c r="SBD22" s="101"/>
      <c r="SBE22" s="101"/>
      <c r="SBF22" s="101"/>
      <c r="SBG22" s="101"/>
      <c r="SBH22" s="101"/>
      <c r="SBI22" s="101"/>
      <c r="SBJ22" s="101"/>
      <c r="SBK22" s="101"/>
      <c r="SBL22" s="101"/>
      <c r="SBM22" s="101"/>
      <c r="SBN22" s="101"/>
      <c r="SBO22" s="101"/>
      <c r="SBP22" s="101"/>
      <c r="SBQ22" s="101"/>
      <c r="SBR22" s="101"/>
      <c r="SBS22" s="101"/>
      <c r="SBT22" s="101"/>
      <c r="SBU22" s="101"/>
      <c r="SBV22" s="101"/>
      <c r="SBW22" s="101"/>
      <c r="SBX22" s="101"/>
      <c r="SBY22" s="101"/>
      <c r="SBZ22" s="101"/>
      <c r="SCA22" s="101"/>
      <c r="SCB22" s="101"/>
      <c r="SCC22" s="101"/>
      <c r="SCD22" s="101"/>
      <c r="SCE22" s="101"/>
      <c r="SCF22" s="101"/>
      <c r="SCG22" s="101"/>
      <c r="SCH22" s="101"/>
      <c r="SCI22" s="101"/>
      <c r="SCJ22" s="101"/>
      <c r="SCK22" s="101"/>
      <c r="SCL22" s="101"/>
      <c r="SCM22" s="101"/>
      <c r="SCN22" s="101"/>
      <c r="SCO22" s="101"/>
      <c r="SCP22" s="101"/>
      <c r="SCQ22" s="101"/>
      <c r="SCR22" s="101"/>
      <c r="SCS22" s="101"/>
      <c r="SCT22" s="101"/>
      <c r="SCU22" s="101"/>
      <c r="SCV22" s="101"/>
      <c r="SCW22" s="101"/>
      <c r="SCX22" s="101"/>
      <c r="SCY22" s="101"/>
      <c r="SCZ22" s="101"/>
      <c r="SDA22" s="101"/>
      <c r="SDB22" s="101"/>
      <c r="SDC22" s="101"/>
      <c r="SDD22" s="101"/>
      <c r="SDE22" s="101"/>
      <c r="SDF22" s="101"/>
      <c r="SDG22" s="101"/>
      <c r="SDH22" s="101"/>
      <c r="SDI22" s="101"/>
      <c r="SDJ22" s="101"/>
      <c r="SDK22" s="101"/>
      <c r="SDL22" s="101"/>
      <c r="SDM22" s="101"/>
      <c r="SDN22" s="101"/>
      <c r="SDO22" s="101"/>
      <c r="SDP22" s="101"/>
      <c r="SDQ22" s="101"/>
      <c r="SDR22" s="101"/>
      <c r="SDS22" s="101"/>
      <c r="SDT22" s="101"/>
      <c r="SDU22" s="101"/>
      <c r="SDV22" s="101"/>
      <c r="SDW22" s="101"/>
      <c r="SDX22" s="101"/>
      <c r="SDY22" s="101"/>
      <c r="SDZ22" s="101"/>
      <c r="SEA22" s="101"/>
      <c r="SEB22" s="101"/>
      <c r="SEC22" s="101"/>
      <c r="SED22" s="101"/>
      <c r="SEE22" s="101"/>
      <c r="SEF22" s="101"/>
      <c r="SEG22" s="101"/>
      <c r="SEH22" s="101"/>
      <c r="SEI22" s="101"/>
      <c r="SEJ22" s="101"/>
      <c r="SEK22" s="101"/>
      <c r="SEL22" s="101"/>
      <c r="SEM22" s="101"/>
      <c r="SEN22" s="101"/>
      <c r="SEO22" s="101"/>
      <c r="SEP22" s="101"/>
      <c r="SEQ22" s="101"/>
      <c r="SER22" s="101"/>
      <c r="SES22" s="101"/>
      <c r="SET22" s="101"/>
      <c r="SEU22" s="101"/>
      <c r="SEV22" s="101"/>
      <c r="SEW22" s="101"/>
      <c r="SEX22" s="101"/>
      <c r="SEY22" s="101"/>
      <c r="SEZ22" s="101"/>
      <c r="SFA22" s="101"/>
      <c r="SFB22" s="101"/>
      <c r="SFC22" s="101"/>
      <c r="SFD22" s="101"/>
      <c r="SFE22" s="101"/>
      <c r="SFF22" s="101"/>
      <c r="SFG22" s="101"/>
      <c r="SFH22" s="101"/>
      <c r="SFI22" s="101"/>
      <c r="SFJ22" s="101"/>
      <c r="SFK22" s="101"/>
      <c r="SFL22" s="101"/>
      <c r="SFM22" s="101"/>
      <c r="SFN22" s="101"/>
      <c r="SFO22" s="101"/>
      <c r="SFP22" s="101"/>
      <c r="SFQ22" s="101"/>
      <c r="SFR22" s="101"/>
      <c r="SFS22" s="101"/>
      <c r="SFT22" s="101"/>
      <c r="SFU22" s="101"/>
      <c r="SFV22" s="101"/>
      <c r="SFW22" s="101"/>
      <c r="SFX22" s="101"/>
      <c r="SFY22" s="101"/>
      <c r="SFZ22" s="101"/>
      <c r="SGA22" s="101"/>
      <c r="SGB22" s="101"/>
      <c r="SGC22" s="101"/>
      <c r="SGD22" s="101"/>
      <c r="SGE22" s="101"/>
      <c r="SGF22" s="101"/>
      <c r="SGG22" s="101"/>
      <c r="SGH22" s="101"/>
      <c r="SGI22" s="101"/>
      <c r="SGJ22" s="101"/>
      <c r="SGK22" s="101"/>
      <c r="SGL22" s="101"/>
      <c r="SGM22" s="101"/>
      <c r="SGN22" s="101"/>
      <c r="SGO22" s="101"/>
      <c r="SGP22" s="101"/>
      <c r="SGQ22" s="101"/>
      <c r="SGR22" s="101"/>
      <c r="SGS22" s="101"/>
      <c r="SGT22" s="101"/>
      <c r="SGU22" s="101"/>
      <c r="SGV22" s="101"/>
      <c r="SGW22" s="101"/>
      <c r="SGX22" s="101"/>
      <c r="SGY22" s="101"/>
      <c r="SGZ22" s="101"/>
      <c r="SHA22" s="101"/>
      <c r="SHB22" s="101"/>
      <c r="SHC22" s="101"/>
      <c r="SHD22" s="101"/>
      <c r="SHE22" s="101"/>
      <c r="SHF22" s="101"/>
      <c r="SHG22" s="101"/>
      <c r="SHH22" s="101"/>
      <c r="SHI22" s="101"/>
      <c r="SHJ22" s="101"/>
      <c r="SHK22" s="101"/>
      <c r="SHL22" s="101"/>
      <c r="SHM22" s="101"/>
      <c r="SHN22" s="101"/>
      <c r="SHO22" s="101"/>
      <c r="SHP22" s="101"/>
      <c r="SHQ22" s="101"/>
      <c r="SHR22" s="101"/>
      <c r="SHS22" s="101"/>
      <c r="SHT22" s="101"/>
      <c r="SHU22" s="101"/>
      <c r="SHV22" s="101"/>
      <c r="SHW22" s="101"/>
      <c r="SHX22" s="101"/>
      <c r="SHY22" s="101"/>
      <c r="SHZ22" s="101"/>
      <c r="SIA22" s="101"/>
      <c r="SIB22" s="101"/>
      <c r="SIC22" s="101"/>
      <c r="SID22" s="101"/>
      <c r="SIE22" s="101"/>
      <c r="SIF22" s="101"/>
      <c r="SIG22" s="101"/>
      <c r="SIH22" s="101"/>
      <c r="SII22" s="101"/>
      <c r="SIJ22" s="101"/>
      <c r="SIK22" s="101"/>
      <c r="SIL22" s="101"/>
      <c r="SIM22" s="101"/>
      <c r="SIN22" s="101"/>
      <c r="SIO22" s="101"/>
      <c r="SIP22" s="101"/>
      <c r="SIQ22" s="101"/>
      <c r="SIR22" s="101"/>
      <c r="SIS22" s="101"/>
      <c r="SIT22" s="101"/>
      <c r="SIU22" s="101"/>
      <c r="SIV22" s="101"/>
      <c r="SIW22" s="101"/>
      <c r="SIX22" s="101"/>
      <c r="SIY22" s="101"/>
      <c r="SIZ22" s="101"/>
      <c r="SJA22" s="101"/>
      <c r="SJB22" s="101"/>
      <c r="SJC22" s="101"/>
      <c r="SJD22" s="101"/>
      <c r="SJE22" s="101"/>
      <c r="SJF22" s="101"/>
      <c r="SJG22" s="101"/>
      <c r="SJH22" s="101"/>
      <c r="SJI22" s="101"/>
      <c r="SJJ22" s="101"/>
      <c r="SJK22" s="101"/>
      <c r="SJL22" s="101"/>
      <c r="SJM22" s="101"/>
      <c r="SJN22" s="101"/>
      <c r="SJO22" s="101"/>
      <c r="SJP22" s="101"/>
      <c r="SJQ22" s="101"/>
      <c r="SJR22" s="101"/>
      <c r="SJS22" s="101"/>
      <c r="SJT22" s="101"/>
      <c r="SJU22" s="101"/>
      <c r="SJV22" s="101"/>
      <c r="SJW22" s="101"/>
      <c r="SJX22" s="101"/>
      <c r="SJY22" s="101"/>
      <c r="SJZ22" s="101"/>
      <c r="SKA22" s="101"/>
      <c r="SKB22" s="101"/>
      <c r="SKC22" s="101"/>
      <c r="SKD22" s="101"/>
      <c r="SKE22" s="101"/>
      <c r="SKF22" s="101"/>
      <c r="SKG22" s="101"/>
      <c r="SKH22" s="101"/>
      <c r="SKI22" s="101"/>
      <c r="SKJ22" s="101"/>
      <c r="SKK22" s="101"/>
      <c r="SKL22" s="101"/>
      <c r="SKM22" s="101"/>
      <c r="SKN22" s="101"/>
      <c r="SKO22" s="101"/>
      <c r="SKP22" s="101"/>
      <c r="SKQ22" s="101"/>
      <c r="SKR22" s="101"/>
      <c r="SKS22" s="101"/>
      <c r="SKT22" s="101"/>
      <c r="SKU22" s="101"/>
      <c r="SKV22" s="101"/>
      <c r="SKW22" s="101"/>
      <c r="SKX22" s="101"/>
      <c r="SKY22" s="101"/>
      <c r="SKZ22" s="101"/>
      <c r="SLA22" s="101"/>
      <c r="SLB22" s="101"/>
      <c r="SLC22" s="101"/>
      <c r="SLD22" s="101"/>
      <c r="SLE22" s="101"/>
      <c r="SLF22" s="101"/>
      <c r="SLG22" s="101"/>
      <c r="SLH22" s="101"/>
      <c r="SLI22" s="101"/>
      <c r="SLJ22" s="101"/>
      <c r="SLK22" s="101"/>
      <c r="SLL22" s="101"/>
      <c r="SLM22" s="101"/>
      <c r="SLN22" s="101"/>
      <c r="SLO22" s="101"/>
      <c r="SLP22" s="101"/>
      <c r="SLQ22" s="101"/>
      <c r="SLR22" s="101"/>
      <c r="SLS22" s="101"/>
      <c r="SLT22" s="101"/>
      <c r="SLU22" s="101"/>
      <c r="SLV22" s="101"/>
      <c r="SLW22" s="101"/>
      <c r="SLX22" s="101"/>
      <c r="SLY22" s="101"/>
      <c r="SLZ22" s="101"/>
      <c r="SMA22" s="101"/>
      <c r="SMB22" s="101"/>
      <c r="SMC22" s="101"/>
      <c r="SMD22" s="101"/>
      <c r="SME22" s="101"/>
      <c r="SMF22" s="101"/>
      <c r="SMG22" s="101"/>
      <c r="SMH22" s="101"/>
      <c r="SMI22" s="101"/>
      <c r="SMJ22" s="101"/>
      <c r="SMK22" s="101"/>
      <c r="SML22" s="101"/>
      <c r="SMM22" s="101"/>
      <c r="SMN22" s="101"/>
      <c r="SMO22" s="101"/>
      <c r="SMP22" s="101"/>
      <c r="SMQ22" s="101"/>
      <c r="SMR22" s="101"/>
      <c r="SMS22" s="101"/>
      <c r="SMT22" s="101"/>
      <c r="SMU22" s="101"/>
      <c r="SMV22" s="101"/>
      <c r="SMW22" s="101"/>
      <c r="SMX22" s="101"/>
      <c r="SMY22" s="101"/>
      <c r="SMZ22" s="101"/>
      <c r="SNA22" s="101"/>
      <c r="SNB22" s="101"/>
      <c r="SNC22" s="101"/>
      <c r="SND22" s="101"/>
      <c r="SNE22" s="101"/>
      <c r="SNF22" s="101"/>
      <c r="SNG22" s="101"/>
      <c r="SNH22" s="101"/>
      <c r="SNI22" s="101"/>
      <c r="SNJ22" s="101"/>
      <c r="SNK22" s="101"/>
      <c r="SNL22" s="101"/>
      <c r="SNM22" s="101"/>
      <c r="SNN22" s="101"/>
      <c r="SNO22" s="101"/>
      <c r="SNP22" s="101"/>
      <c r="SNQ22" s="101"/>
      <c r="SNR22" s="101"/>
      <c r="SNS22" s="101"/>
      <c r="SNT22" s="101"/>
      <c r="SNU22" s="101"/>
      <c r="SNV22" s="101"/>
      <c r="SNW22" s="101"/>
      <c r="SNX22" s="101"/>
      <c r="SNY22" s="101"/>
      <c r="SNZ22" s="101"/>
      <c r="SOA22" s="101"/>
      <c r="SOB22" s="101"/>
      <c r="SOC22" s="101"/>
      <c r="SOD22" s="101"/>
      <c r="SOE22" s="101"/>
      <c r="SOF22" s="101"/>
      <c r="SOG22" s="101"/>
      <c r="SOH22" s="101"/>
      <c r="SOI22" s="101"/>
      <c r="SOJ22" s="101"/>
      <c r="SOK22" s="101"/>
      <c r="SOL22" s="101"/>
      <c r="SOM22" s="101"/>
      <c r="SON22" s="101"/>
      <c r="SOO22" s="101"/>
      <c r="SOP22" s="101"/>
      <c r="SOQ22" s="101"/>
      <c r="SOR22" s="101"/>
      <c r="SOS22" s="101"/>
      <c r="SOT22" s="101"/>
      <c r="SOU22" s="101"/>
      <c r="SOV22" s="101"/>
      <c r="SOW22" s="101"/>
      <c r="SOX22" s="101"/>
      <c r="SOY22" s="101"/>
      <c r="SOZ22" s="101"/>
      <c r="SPA22" s="101"/>
      <c r="SPB22" s="101"/>
      <c r="SPC22" s="101"/>
      <c r="SPD22" s="101"/>
      <c r="SPE22" s="101"/>
      <c r="SPF22" s="101"/>
      <c r="SPG22" s="101"/>
      <c r="SPH22" s="101"/>
      <c r="SPI22" s="101"/>
      <c r="SPJ22" s="101"/>
      <c r="SPK22" s="101"/>
      <c r="SPL22" s="101"/>
      <c r="SPM22" s="101"/>
      <c r="SPN22" s="101"/>
      <c r="SPO22" s="101"/>
      <c r="SPP22" s="101"/>
      <c r="SPQ22" s="101"/>
      <c r="SPR22" s="101"/>
      <c r="SPS22" s="101"/>
      <c r="SPT22" s="101"/>
      <c r="SPU22" s="101"/>
      <c r="SPV22" s="101"/>
      <c r="SPW22" s="101"/>
      <c r="SPX22" s="101"/>
      <c r="SPY22" s="101"/>
      <c r="SPZ22" s="101"/>
      <c r="SQA22" s="101"/>
      <c r="SQB22" s="101"/>
      <c r="SQC22" s="101"/>
      <c r="SQD22" s="101"/>
      <c r="SQE22" s="101"/>
      <c r="SQF22" s="101"/>
      <c r="SQG22" s="101"/>
      <c r="SQH22" s="101"/>
      <c r="SQI22" s="101"/>
      <c r="SQJ22" s="101"/>
      <c r="SQK22" s="101"/>
      <c r="SQL22" s="101"/>
      <c r="SQM22" s="101"/>
      <c r="SQN22" s="101"/>
      <c r="SQO22" s="101"/>
      <c r="SQP22" s="101"/>
      <c r="SQQ22" s="101"/>
      <c r="SQR22" s="101"/>
      <c r="SQS22" s="101"/>
      <c r="SQT22" s="101"/>
      <c r="SQU22" s="101"/>
      <c r="SQV22" s="101"/>
      <c r="SQW22" s="101"/>
      <c r="SQX22" s="101"/>
      <c r="SQY22" s="101"/>
      <c r="SQZ22" s="101"/>
      <c r="SRA22" s="101"/>
      <c r="SRB22" s="101"/>
      <c r="SRC22" s="101"/>
      <c r="SRD22" s="101"/>
      <c r="SRE22" s="101"/>
      <c r="SRF22" s="101"/>
      <c r="SRG22" s="101"/>
      <c r="SRH22" s="101"/>
      <c r="SRI22" s="101"/>
      <c r="SRJ22" s="101"/>
      <c r="SRK22" s="101"/>
      <c r="SRL22" s="101"/>
      <c r="SRM22" s="101"/>
      <c r="SRN22" s="101"/>
      <c r="SRO22" s="101"/>
      <c r="SRP22" s="101"/>
      <c r="SRQ22" s="101"/>
      <c r="SRR22" s="101"/>
      <c r="SRS22" s="101"/>
      <c r="SRT22" s="101"/>
      <c r="SRU22" s="101"/>
      <c r="SRV22" s="101"/>
      <c r="SRW22" s="101"/>
      <c r="SRX22" s="101"/>
      <c r="SRY22" s="101"/>
      <c r="SRZ22" s="101"/>
      <c r="SSA22" s="101"/>
      <c r="SSB22" s="101"/>
      <c r="SSC22" s="101"/>
      <c r="SSD22" s="101"/>
      <c r="SSE22" s="101"/>
      <c r="SSF22" s="101"/>
      <c r="SSG22" s="101"/>
      <c r="SSH22" s="101"/>
      <c r="SSI22" s="101"/>
      <c r="SSJ22" s="101"/>
      <c r="SSK22" s="101"/>
      <c r="SSL22" s="101"/>
      <c r="SSM22" s="101"/>
      <c r="SSN22" s="101"/>
      <c r="SSO22" s="101"/>
      <c r="SSP22" s="101"/>
      <c r="SSQ22" s="101"/>
      <c r="SSR22" s="101"/>
      <c r="SSS22" s="101"/>
      <c r="SST22" s="101"/>
      <c r="SSU22" s="101"/>
      <c r="SSV22" s="101"/>
      <c r="SSW22" s="101"/>
      <c r="SSX22" s="101"/>
      <c r="SSY22" s="101"/>
      <c r="SSZ22" s="101"/>
      <c r="STA22" s="101"/>
      <c r="STB22" s="101"/>
      <c r="STC22" s="101"/>
      <c r="STD22" s="101"/>
      <c r="STE22" s="101"/>
      <c r="STF22" s="101"/>
      <c r="STG22" s="101"/>
      <c r="STH22" s="101"/>
      <c r="STI22" s="101"/>
      <c r="STJ22" s="101"/>
      <c r="STK22" s="101"/>
      <c r="STL22" s="101"/>
      <c r="STM22" s="101"/>
      <c r="STN22" s="101"/>
      <c r="STO22" s="101"/>
      <c r="STP22" s="101"/>
      <c r="STQ22" s="101"/>
      <c r="STR22" s="101"/>
      <c r="STS22" s="101"/>
      <c r="STT22" s="101"/>
      <c r="STU22" s="101"/>
      <c r="STV22" s="101"/>
      <c r="STW22" s="101"/>
      <c r="STX22" s="101"/>
      <c r="STY22" s="101"/>
      <c r="STZ22" s="101"/>
      <c r="SUA22" s="101"/>
      <c r="SUB22" s="101"/>
      <c r="SUC22" s="101"/>
      <c r="SUD22" s="101"/>
      <c r="SUE22" s="101"/>
      <c r="SUF22" s="101"/>
      <c r="SUG22" s="101"/>
      <c r="SUH22" s="101"/>
      <c r="SUI22" s="101"/>
      <c r="SUJ22" s="101"/>
      <c r="SUK22" s="101"/>
      <c r="SUL22" s="101"/>
      <c r="SUM22" s="101"/>
      <c r="SUN22" s="101"/>
      <c r="SUO22" s="101"/>
      <c r="SUP22" s="101"/>
      <c r="SUQ22" s="101"/>
      <c r="SUR22" s="101"/>
      <c r="SUS22" s="101"/>
      <c r="SUT22" s="101"/>
      <c r="SUU22" s="101"/>
      <c r="SUV22" s="101"/>
      <c r="SUW22" s="101"/>
      <c r="SUX22" s="101"/>
      <c r="SUY22" s="101"/>
      <c r="SUZ22" s="101"/>
      <c r="SVA22" s="101"/>
      <c r="SVB22" s="101"/>
      <c r="SVC22" s="101"/>
      <c r="SVD22" s="101"/>
      <c r="SVE22" s="101"/>
      <c r="SVF22" s="101"/>
      <c r="SVG22" s="101"/>
      <c r="SVH22" s="101"/>
      <c r="SVI22" s="101"/>
      <c r="SVJ22" s="101"/>
      <c r="SVK22" s="101"/>
      <c r="SVL22" s="101"/>
      <c r="SVM22" s="101"/>
      <c r="SVN22" s="101"/>
      <c r="SVO22" s="101"/>
      <c r="SVP22" s="101"/>
      <c r="SVQ22" s="101"/>
      <c r="SVR22" s="101"/>
      <c r="SVS22" s="101"/>
      <c r="SVT22" s="101"/>
      <c r="SVU22" s="101"/>
      <c r="SVV22" s="101"/>
      <c r="SVW22" s="101"/>
      <c r="SVX22" s="101"/>
      <c r="SVY22" s="101"/>
      <c r="SVZ22" s="101"/>
      <c r="SWA22" s="101"/>
      <c r="SWB22" s="101"/>
      <c r="SWC22" s="101"/>
      <c r="SWD22" s="101"/>
      <c r="SWE22" s="101"/>
      <c r="SWF22" s="101"/>
      <c r="SWG22" s="101"/>
      <c r="SWH22" s="101"/>
      <c r="SWI22" s="101"/>
      <c r="SWJ22" s="101"/>
      <c r="SWK22" s="101"/>
      <c r="SWL22" s="101"/>
      <c r="SWM22" s="101"/>
      <c r="SWN22" s="101"/>
      <c r="SWO22" s="101"/>
      <c r="SWP22" s="101"/>
      <c r="SWQ22" s="101"/>
      <c r="SWR22" s="101"/>
      <c r="SWS22" s="101"/>
      <c r="SWT22" s="101"/>
      <c r="SWU22" s="101"/>
      <c r="SWV22" s="101"/>
      <c r="SWW22" s="101"/>
      <c r="SWX22" s="101"/>
      <c r="SWY22" s="101"/>
      <c r="SWZ22" s="101"/>
      <c r="SXA22" s="101"/>
      <c r="SXB22" s="101"/>
      <c r="SXC22" s="101"/>
      <c r="SXD22" s="101"/>
      <c r="SXE22" s="101"/>
      <c r="SXF22" s="101"/>
      <c r="SXG22" s="101"/>
      <c r="SXH22" s="101"/>
      <c r="SXI22" s="101"/>
      <c r="SXJ22" s="101"/>
      <c r="SXK22" s="101"/>
      <c r="SXL22" s="101"/>
      <c r="SXM22" s="101"/>
      <c r="SXN22" s="101"/>
      <c r="SXO22" s="101"/>
      <c r="SXP22" s="101"/>
      <c r="SXQ22" s="101"/>
      <c r="SXR22" s="101"/>
      <c r="SXS22" s="101"/>
      <c r="SXT22" s="101"/>
      <c r="SXU22" s="101"/>
      <c r="SXV22" s="101"/>
      <c r="SXW22" s="101"/>
      <c r="SXX22" s="101"/>
      <c r="SXY22" s="101"/>
      <c r="SXZ22" s="101"/>
      <c r="SYA22" s="101"/>
      <c r="SYB22" s="101"/>
      <c r="SYC22" s="101"/>
      <c r="SYD22" s="101"/>
      <c r="SYE22" s="101"/>
      <c r="SYF22" s="101"/>
      <c r="SYG22" s="101"/>
      <c r="SYH22" s="101"/>
      <c r="SYI22" s="101"/>
      <c r="SYJ22" s="101"/>
      <c r="SYK22" s="101"/>
      <c r="SYL22" s="101"/>
      <c r="SYM22" s="101"/>
      <c r="SYN22" s="101"/>
      <c r="SYO22" s="101"/>
      <c r="SYP22" s="101"/>
      <c r="SYQ22" s="101"/>
      <c r="SYR22" s="101"/>
      <c r="SYS22" s="101"/>
      <c r="SYT22" s="101"/>
      <c r="SYU22" s="101"/>
      <c r="SYV22" s="101"/>
      <c r="SYW22" s="101"/>
      <c r="SYX22" s="101"/>
      <c r="SYY22" s="101"/>
      <c r="SYZ22" s="101"/>
      <c r="SZA22" s="101"/>
      <c r="SZB22" s="101"/>
      <c r="SZC22" s="101"/>
      <c r="SZD22" s="101"/>
      <c r="SZE22" s="101"/>
      <c r="SZF22" s="101"/>
      <c r="SZG22" s="101"/>
      <c r="SZH22" s="101"/>
      <c r="SZI22" s="101"/>
      <c r="SZJ22" s="101"/>
      <c r="SZK22" s="101"/>
      <c r="SZL22" s="101"/>
      <c r="SZM22" s="101"/>
      <c r="SZN22" s="101"/>
      <c r="SZO22" s="101"/>
      <c r="SZP22" s="101"/>
      <c r="SZQ22" s="101"/>
      <c r="SZR22" s="101"/>
      <c r="SZS22" s="101"/>
      <c r="SZT22" s="101"/>
      <c r="SZU22" s="101"/>
      <c r="SZV22" s="101"/>
      <c r="SZW22" s="101"/>
      <c r="SZX22" s="101"/>
      <c r="SZY22" s="101"/>
      <c r="SZZ22" s="101"/>
      <c r="TAA22" s="101"/>
      <c r="TAB22" s="101"/>
      <c r="TAC22" s="101"/>
      <c r="TAD22" s="101"/>
      <c r="TAE22" s="101"/>
      <c r="TAF22" s="101"/>
      <c r="TAG22" s="101"/>
      <c r="TAH22" s="101"/>
      <c r="TAI22" s="101"/>
      <c r="TAJ22" s="101"/>
      <c r="TAK22" s="101"/>
      <c r="TAL22" s="101"/>
      <c r="TAM22" s="101"/>
      <c r="TAN22" s="101"/>
      <c r="TAO22" s="101"/>
      <c r="TAP22" s="101"/>
      <c r="TAQ22" s="101"/>
      <c r="TAR22" s="101"/>
      <c r="TAS22" s="101"/>
      <c r="TAT22" s="101"/>
      <c r="TAU22" s="101"/>
      <c r="TAV22" s="101"/>
      <c r="TAW22" s="101"/>
      <c r="TAX22" s="101"/>
      <c r="TAY22" s="101"/>
      <c r="TAZ22" s="101"/>
      <c r="TBA22" s="101"/>
      <c r="TBB22" s="101"/>
      <c r="TBC22" s="101"/>
      <c r="TBD22" s="101"/>
      <c r="TBE22" s="101"/>
      <c r="TBF22" s="101"/>
      <c r="TBG22" s="101"/>
      <c r="TBH22" s="101"/>
      <c r="TBI22" s="101"/>
      <c r="TBJ22" s="101"/>
      <c r="TBK22" s="101"/>
      <c r="TBL22" s="101"/>
      <c r="TBM22" s="101"/>
      <c r="TBN22" s="101"/>
      <c r="TBO22" s="101"/>
      <c r="TBP22" s="101"/>
      <c r="TBQ22" s="101"/>
      <c r="TBR22" s="101"/>
      <c r="TBS22" s="101"/>
      <c r="TBT22" s="101"/>
      <c r="TBU22" s="101"/>
      <c r="TBV22" s="101"/>
      <c r="TBW22" s="101"/>
      <c r="TBX22" s="101"/>
      <c r="TBY22" s="101"/>
      <c r="TBZ22" s="101"/>
      <c r="TCA22" s="101"/>
      <c r="TCB22" s="101"/>
      <c r="TCC22" s="101"/>
      <c r="TCD22" s="101"/>
      <c r="TCE22" s="101"/>
      <c r="TCF22" s="101"/>
      <c r="TCG22" s="101"/>
      <c r="TCH22" s="101"/>
      <c r="TCI22" s="101"/>
      <c r="TCJ22" s="101"/>
      <c r="TCK22" s="101"/>
      <c r="TCL22" s="101"/>
      <c r="TCM22" s="101"/>
      <c r="TCN22" s="101"/>
      <c r="TCO22" s="101"/>
      <c r="TCP22" s="101"/>
      <c r="TCQ22" s="101"/>
      <c r="TCR22" s="101"/>
      <c r="TCS22" s="101"/>
      <c r="TCT22" s="101"/>
      <c r="TCU22" s="101"/>
      <c r="TCV22" s="101"/>
      <c r="TCW22" s="101"/>
      <c r="TCX22" s="101"/>
      <c r="TCY22" s="101"/>
      <c r="TCZ22" s="101"/>
      <c r="TDA22" s="101"/>
      <c r="TDB22" s="101"/>
      <c r="TDC22" s="101"/>
      <c r="TDD22" s="101"/>
      <c r="TDE22" s="101"/>
      <c r="TDF22" s="101"/>
      <c r="TDG22" s="101"/>
      <c r="TDH22" s="101"/>
      <c r="TDI22" s="101"/>
      <c r="TDJ22" s="101"/>
      <c r="TDK22" s="101"/>
      <c r="TDL22" s="101"/>
      <c r="TDM22" s="101"/>
      <c r="TDN22" s="101"/>
      <c r="TDO22" s="101"/>
      <c r="TDP22" s="101"/>
      <c r="TDQ22" s="101"/>
      <c r="TDR22" s="101"/>
      <c r="TDS22" s="101"/>
      <c r="TDT22" s="101"/>
      <c r="TDU22" s="101"/>
      <c r="TDV22" s="101"/>
      <c r="TDW22" s="101"/>
      <c r="TDX22" s="101"/>
      <c r="TDY22" s="101"/>
      <c r="TDZ22" s="101"/>
      <c r="TEA22" s="101"/>
      <c r="TEB22" s="101"/>
      <c r="TEC22" s="101"/>
      <c r="TED22" s="101"/>
      <c r="TEE22" s="101"/>
      <c r="TEF22" s="101"/>
      <c r="TEG22" s="101"/>
      <c r="TEH22" s="101"/>
      <c r="TEI22" s="101"/>
      <c r="TEJ22" s="101"/>
      <c r="TEK22" s="101"/>
      <c r="TEL22" s="101"/>
      <c r="TEM22" s="101"/>
      <c r="TEN22" s="101"/>
      <c r="TEO22" s="101"/>
      <c r="TEP22" s="101"/>
      <c r="TEQ22" s="101"/>
      <c r="TER22" s="101"/>
      <c r="TES22" s="101"/>
      <c r="TET22" s="101"/>
      <c r="TEU22" s="101"/>
      <c r="TEV22" s="101"/>
      <c r="TEW22" s="101"/>
      <c r="TEX22" s="101"/>
      <c r="TEY22" s="101"/>
      <c r="TEZ22" s="101"/>
      <c r="TFA22" s="101"/>
      <c r="TFB22" s="101"/>
      <c r="TFC22" s="101"/>
      <c r="TFD22" s="101"/>
      <c r="TFE22" s="101"/>
      <c r="TFF22" s="101"/>
      <c r="TFG22" s="101"/>
      <c r="TFH22" s="101"/>
      <c r="TFI22" s="101"/>
      <c r="TFJ22" s="101"/>
      <c r="TFK22" s="101"/>
      <c r="TFL22" s="101"/>
      <c r="TFM22" s="101"/>
      <c r="TFN22" s="101"/>
      <c r="TFO22" s="101"/>
      <c r="TFP22" s="101"/>
      <c r="TFQ22" s="101"/>
      <c r="TFR22" s="101"/>
      <c r="TFS22" s="101"/>
      <c r="TFT22" s="101"/>
      <c r="TFU22" s="101"/>
      <c r="TFV22" s="101"/>
      <c r="TFW22" s="101"/>
      <c r="TFX22" s="101"/>
      <c r="TFY22" s="101"/>
      <c r="TFZ22" s="101"/>
      <c r="TGA22" s="101"/>
      <c r="TGB22" s="101"/>
      <c r="TGC22" s="101"/>
      <c r="TGD22" s="101"/>
      <c r="TGE22" s="101"/>
      <c r="TGF22" s="101"/>
      <c r="TGG22" s="101"/>
      <c r="TGH22" s="101"/>
      <c r="TGI22" s="101"/>
      <c r="TGJ22" s="101"/>
      <c r="TGK22" s="101"/>
      <c r="TGL22" s="101"/>
      <c r="TGM22" s="101"/>
      <c r="TGN22" s="101"/>
      <c r="TGO22" s="101"/>
      <c r="TGP22" s="101"/>
      <c r="TGQ22" s="101"/>
      <c r="TGR22" s="101"/>
      <c r="TGS22" s="101"/>
      <c r="TGT22" s="101"/>
      <c r="TGU22" s="101"/>
      <c r="TGV22" s="101"/>
      <c r="TGW22" s="101"/>
      <c r="TGX22" s="101"/>
      <c r="TGY22" s="101"/>
      <c r="TGZ22" s="101"/>
      <c r="THA22" s="101"/>
      <c r="THB22" s="101"/>
      <c r="THC22" s="101"/>
      <c r="THD22" s="101"/>
      <c r="THE22" s="101"/>
      <c r="THF22" s="101"/>
      <c r="THG22" s="101"/>
      <c r="THH22" s="101"/>
      <c r="THI22" s="101"/>
      <c r="THJ22" s="101"/>
      <c r="THK22" s="101"/>
      <c r="THL22" s="101"/>
      <c r="THM22" s="101"/>
      <c r="THN22" s="101"/>
      <c r="THO22" s="101"/>
      <c r="THP22" s="101"/>
      <c r="THQ22" s="101"/>
      <c r="THR22" s="101"/>
      <c r="THS22" s="101"/>
      <c r="THT22" s="101"/>
      <c r="THU22" s="101"/>
      <c r="THV22" s="101"/>
      <c r="THW22" s="101"/>
      <c r="THX22" s="101"/>
      <c r="THY22" s="101"/>
      <c r="THZ22" s="101"/>
      <c r="TIA22" s="101"/>
      <c r="TIB22" s="101"/>
      <c r="TIC22" s="101"/>
      <c r="TID22" s="101"/>
      <c r="TIE22" s="101"/>
      <c r="TIF22" s="101"/>
      <c r="TIG22" s="101"/>
      <c r="TIH22" s="101"/>
      <c r="TII22" s="101"/>
      <c r="TIJ22" s="101"/>
      <c r="TIK22" s="101"/>
      <c r="TIL22" s="101"/>
      <c r="TIM22" s="101"/>
      <c r="TIN22" s="101"/>
      <c r="TIO22" s="101"/>
      <c r="TIP22" s="101"/>
      <c r="TIQ22" s="101"/>
      <c r="TIR22" s="101"/>
      <c r="TIS22" s="101"/>
      <c r="TIT22" s="101"/>
      <c r="TIU22" s="101"/>
      <c r="TIV22" s="101"/>
      <c r="TIW22" s="101"/>
      <c r="TIX22" s="101"/>
      <c r="TIY22" s="101"/>
      <c r="TIZ22" s="101"/>
      <c r="TJA22" s="101"/>
      <c r="TJB22" s="101"/>
      <c r="TJC22" s="101"/>
      <c r="TJD22" s="101"/>
      <c r="TJE22" s="101"/>
      <c r="TJF22" s="101"/>
      <c r="TJG22" s="101"/>
      <c r="TJH22" s="101"/>
      <c r="TJI22" s="101"/>
      <c r="TJJ22" s="101"/>
      <c r="TJK22" s="101"/>
      <c r="TJL22" s="101"/>
      <c r="TJM22" s="101"/>
      <c r="TJN22" s="101"/>
      <c r="TJO22" s="101"/>
      <c r="TJP22" s="101"/>
      <c r="TJQ22" s="101"/>
      <c r="TJR22" s="101"/>
      <c r="TJS22" s="101"/>
      <c r="TJT22" s="101"/>
      <c r="TJU22" s="101"/>
      <c r="TJV22" s="101"/>
      <c r="TJW22" s="101"/>
      <c r="TJX22" s="101"/>
      <c r="TJY22" s="101"/>
      <c r="TJZ22" s="101"/>
      <c r="TKA22" s="101"/>
      <c r="TKB22" s="101"/>
      <c r="TKC22" s="101"/>
      <c r="TKD22" s="101"/>
      <c r="TKE22" s="101"/>
      <c r="TKF22" s="101"/>
      <c r="TKG22" s="101"/>
      <c r="TKH22" s="101"/>
      <c r="TKI22" s="101"/>
      <c r="TKJ22" s="101"/>
      <c r="TKK22" s="101"/>
      <c r="TKL22" s="101"/>
      <c r="TKM22" s="101"/>
      <c r="TKN22" s="101"/>
      <c r="TKO22" s="101"/>
      <c r="TKP22" s="101"/>
      <c r="TKQ22" s="101"/>
      <c r="TKR22" s="101"/>
      <c r="TKS22" s="101"/>
      <c r="TKT22" s="101"/>
      <c r="TKU22" s="101"/>
      <c r="TKV22" s="101"/>
      <c r="TKW22" s="101"/>
      <c r="TKX22" s="101"/>
      <c r="TKY22" s="101"/>
      <c r="TKZ22" s="101"/>
      <c r="TLA22" s="101"/>
      <c r="TLB22" s="101"/>
      <c r="TLC22" s="101"/>
      <c r="TLD22" s="101"/>
      <c r="TLE22" s="101"/>
      <c r="TLF22" s="101"/>
      <c r="TLG22" s="101"/>
      <c r="TLH22" s="101"/>
      <c r="TLI22" s="101"/>
      <c r="TLJ22" s="101"/>
      <c r="TLK22" s="101"/>
      <c r="TLL22" s="101"/>
      <c r="TLM22" s="101"/>
      <c r="TLN22" s="101"/>
      <c r="TLO22" s="101"/>
      <c r="TLP22" s="101"/>
      <c r="TLQ22" s="101"/>
      <c r="TLR22" s="101"/>
      <c r="TLS22" s="101"/>
      <c r="TLT22" s="101"/>
      <c r="TLU22" s="101"/>
      <c r="TLV22" s="101"/>
      <c r="TLW22" s="101"/>
      <c r="TLX22" s="101"/>
      <c r="TLY22" s="101"/>
      <c r="TLZ22" s="101"/>
      <c r="TMA22" s="101"/>
      <c r="TMB22" s="101"/>
      <c r="TMC22" s="101"/>
      <c r="TMD22" s="101"/>
      <c r="TME22" s="101"/>
      <c r="TMF22" s="101"/>
      <c r="TMG22" s="101"/>
      <c r="TMH22" s="101"/>
      <c r="TMI22" s="101"/>
      <c r="TMJ22" s="101"/>
      <c r="TMK22" s="101"/>
      <c r="TML22" s="101"/>
      <c r="TMM22" s="101"/>
      <c r="TMN22" s="101"/>
      <c r="TMO22" s="101"/>
      <c r="TMP22" s="101"/>
      <c r="TMQ22" s="101"/>
      <c r="TMR22" s="101"/>
      <c r="TMS22" s="101"/>
      <c r="TMT22" s="101"/>
      <c r="TMU22" s="101"/>
      <c r="TMV22" s="101"/>
      <c r="TMW22" s="101"/>
      <c r="TMX22" s="101"/>
      <c r="TMY22" s="101"/>
      <c r="TMZ22" s="101"/>
      <c r="TNA22" s="101"/>
      <c r="TNB22" s="101"/>
      <c r="TNC22" s="101"/>
      <c r="TND22" s="101"/>
      <c r="TNE22" s="101"/>
      <c r="TNF22" s="101"/>
      <c r="TNG22" s="101"/>
      <c r="TNH22" s="101"/>
      <c r="TNI22" s="101"/>
      <c r="TNJ22" s="101"/>
      <c r="TNK22" s="101"/>
      <c r="TNL22" s="101"/>
      <c r="TNM22" s="101"/>
      <c r="TNN22" s="101"/>
      <c r="TNO22" s="101"/>
      <c r="TNP22" s="101"/>
      <c r="TNQ22" s="101"/>
      <c r="TNR22" s="101"/>
      <c r="TNS22" s="101"/>
      <c r="TNT22" s="101"/>
      <c r="TNU22" s="101"/>
      <c r="TNV22" s="101"/>
      <c r="TNW22" s="101"/>
      <c r="TNX22" s="101"/>
      <c r="TNY22" s="101"/>
      <c r="TNZ22" s="101"/>
      <c r="TOA22" s="101"/>
      <c r="TOB22" s="101"/>
      <c r="TOC22" s="101"/>
      <c r="TOD22" s="101"/>
      <c r="TOE22" s="101"/>
      <c r="TOF22" s="101"/>
      <c r="TOG22" s="101"/>
      <c r="TOH22" s="101"/>
      <c r="TOI22" s="101"/>
      <c r="TOJ22" s="101"/>
      <c r="TOK22" s="101"/>
      <c r="TOL22" s="101"/>
      <c r="TOM22" s="101"/>
      <c r="TON22" s="101"/>
      <c r="TOO22" s="101"/>
      <c r="TOP22" s="101"/>
      <c r="TOQ22" s="101"/>
      <c r="TOR22" s="101"/>
      <c r="TOS22" s="101"/>
      <c r="TOT22" s="101"/>
      <c r="TOU22" s="101"/>
      <c r="TOV22" s="101"/>
      <c r="TOW22" s="101"/>
      <c r="TOX22" s="101"/>
      <c r="TOY22" s="101"/>
      <c r="TOZ22" s="101"/>
      <c r="TPA22" s="101"/>
      <c r="TPB22" s="101"/>
      <c r="TPC22" s="101"/>
      <c r="TPD22" s="101"/>
      <c r="TPE22" s="101"/>
      <c r="TPF22" s="101"/>
      <c r="TPG22" s="101"/>
      <c r="TPH22" s="101"/>
      <c r="TPI22" s="101"/>
      <c r="TPJ22" s="101"/>
      <c r="TPK22" s="101"/>
      <c r="TPL22" s="101"/>
      <c r="TPM22" s="101"/>
      <c r="TPN22" s="101"/>
      <c r="TPO22" s="101"/>
      <c r="TPP22" s="101"/>
      <c r="TPQ22" s="101"/>
      <c r="TPR22" s="101"/>
      <c r="TPS22" s="101"/>
      <c r="TPT22" s="101"/>
      <c r="TPU22" s="101"/>
      <c r="TPV22" s="101"/>
      <c r="TPW22" s="101"/>
      <c r="TPX22" s="101"/>
      <c r="TPY22" s="101"/>
      <c r="TPZ22" s="101"/>
      <c r="TQA22" s="101"/>
      <c r="TQB22" s="101"/>
      <c r="TQC22" s="101"/>
      <c r="TQD22" s="101"/>
      <c r="TQE22" s="101"/>
      <c r="TQF22" s="101"/>
      <c r="TQG22" s="101"/>
      <c r="TQH22" s="101"/>
      <c r="TQI22" s="101"/>
      <c r="TQJ22" s="101"/>
      <c r="TQK22" s="101"/>
      <c r="TQL22" s="101"/>
      <c r="TQM22" s="101"/>
      <c r="TQN22" s="101"/>
      <c r="TQO22" s="101"/>
      <c r="TQP22" s="101"/>
      <c r="TQQ22" s="101"/>
      <c r="TQR22" s="101"/>
      <c r="TQS22" s="101"/>
      <c r="TQT22" s="101"/>
      <c r="TQU22" s="101"/>
      <c r="TQV22" s="101"/>
      <c r="TQW22" s="101"/>
      <c r="TQX22" s="101"/>
      <c r="TQY22" s="101"/>
      <c r="TQZ22" s="101"/>
      <c r="TRA22" s="101"/>
      <c r="TRB22" s="101"/>
      <c r="TRC22" s="101"/>
      <c r="TRD22" s="101"/>
      <c r="TRE22" s="101"/>
      <c r="TRF22" s="101"/>
      <c r="TRG22" s="101"/>
      <c r="TRH22" s="101"/>
      <c r="TRI22" s="101"/>
      <c r="TRJ22" s="101"/>
      <c r="TRK22" s="101"/>
      <c r="TRL22" s="101"/>
      <c r="TRM22" s="101"/>
      <c r="TRN22" s="101"/>
      <c r="TRO22" s="101"/>
      <c r="TRP22" s="101"/>
      <c r="TRQ22" s="101"/>
      <c r="TRR22" s="101"/>
      <c r="TRS22" s="101"/>
      <c r="TRT22" s="101"/>
      <c r="TRU22" s="101"/>
      <c r="TRV22" s="101"/>
      <c r="TRW22" s="101"/>
      <c r="TRX22" s="101"/>
      <c r="TRY22" s="101"/>
      <c r="TRZ22" s="101"/>
      <c r="TSA22" s="101"/>
      <c r="TSB22" s="101"/>
      <c r="TSC22" s="101"/>
      <c r="TSD22" s="101"/>
      <c r="TSE22" s="101"/>
      <c r="TSF22" s="101"/>
      <c r="TSG22" s="101"/>
      <c r="TSH22" s="101"/>
      <c r="TSI22" s="101"/>
      <c r="TSJ22" s="101"/>
      <c r="TSK22" s="101"/>
      <c r="TSL22" s="101"/>
      <c r="TSM22" s="101"/>
      <c r="TSN22" s="101"/>
      <c r="TSO22" s="101"/>
      <c r="TSP22" s="101"/>
      <c r="TSQ22" s="101"/>
      <c r="TSR22" s="101"/>
      <c r="TSS22" s="101"/>
      <c r="TST22" s="101"/>
      <c r="TSU22" s="101"/>
      <c r="TSV22" s="101"/>
      <c r="TSW22" s="101"/>
      <c r="TSX22" s="101"/>
      <c r="TSY22" s="101"/>
      <c r="TSZ22" s="101"/>
      <c r="TTA22" s="101"/>
      <c r="TTB22" s="101"/>
      <c r="TTC22" s="101"/>
      <c r="TTD22" s="101"/>
      <c r="TTE22" s="101"/>
      <c r="TTF22" s="101"/>
      <c r="TTG22" s="101"/>
      <c r="TTH22" s="101"/>
      <c r="TTI22" s="101"/>
      <c r="TTJ22" s="101"/>
      <c r="TTK22" s="101"/>
      <c r="TTL22" s="101"/>
      <c r="TTM22" s="101"/>
      <c r="TTN22" s="101"/>
      <c r="TTO22" s="101"/>
      <c r="TTP22" s="101"/>
      <c r="TTQ22" s="101"/>
      <c r="TTR22" s="101"/>
      <c r="TTS22" s="101"/>
      <c r="TTT22" s="101"/>
      <c r="TTU22" s="101"/>
      <c r="TTV22" s="101"/>
      <c r="TTW22" s="101"/>
      <c r="TTX22" s="101"/>
      <c r="TTY22" s="101"/>
      <c r="TTZ22" s="101"/>
      <c r="TUA22" s="101"/>
      <c r="TUB22" s="101"/>
      <c r="TUC22" s="101"/>
      <c r="TUD22" s="101"/>
      <c r="TUE22" s="101"/>
      <c r="TUF22" s="101"/>
      <c r="TUG22" s="101"/>
      <c r="TUH22" s="101"/>
      <c r="TUI22" s="101"/>
      <c r="TUJ22" s="101"/>
      <c r="TUK22" s="101"/>
      <c r="TUL22" s="101"/>
      <c r="TUM22" s="101"/>
      <c r="TUN22" s="101"/>
      <c r="TUO22" s="101"/>
      <c r="TUP22" s="101"/>
      <c r="TUQ22" s="101"/>
      <c r="TUR22" s="101"/>
      <c r="TUS22" s="101"/>
      <c r="TUT22" s="101"/>
      <c r="TUU22" s="101"/>
      <c r="TUV22" s="101"/>
      <c r="TUW22" s="101"/>
      <c r="TUX22" s="101"/>
      <c r="TUY22" s="101"/>
      <c r="TUZ22" s="101"/>
      <c r="TVA22" s="101"/>
      <c r="TVB22" s="101"/>
      <c r="TVC22" s="101"/>
      <c r="TVD22" s="101"/>
      <c r="TVE22" s="101"/>
      <c r="TVF22" s="101"/>
      <c r="TVG22" s="101"/>
      <c r="TVH22" s="101"/>
      <c r="TVI22" s="101"/>
      <c r="TVJ22" s="101"/>
      <c r="TVK22" s="101"/>
      <c r="TVL22" s="101"/>
      <c r="TVM22" s="101"/>
      <c r="TVN22" s="101"/>
      <c r="TVO22" s="101"/>
      <c r="TVP22" s="101"/>
      <c r="TVQ22" s="101"/>
      <c r="TVR22" s="101"/>
      <c r="TVS22" s="101"/>
      <c r="TVT22" s="101"/>
      <c r="TVU22" s="101"/>
      <c r="TVV22" s="101"/>
      <c r="TVW22" s="101"/>
      <c r="TVX22" s="101"/>
      <c r="TVY22" s="101"/>
      <c r="TVZ22" s="101"/>
      <c r="TWA22" s="101"/>
      <c r="TWB22" s="101"/>
      <c r="TWC22" s="101"/>
      <c r="TWD22" s="101"/>
      <c r="TWE22" s="101"/>
      <c r="TWF22" s="101"/>
      <c r="TWG22" s="101"/>
      <c r="TWH22" s="101"/>
      <c r="TWI22" s="101"/>
      <c r="TWJ22" s="101"/>
      <c r="TWK22" s="101"/>
      <c r="TWL22" s="101"/>
      <c r="TWM22" s="101"/>
      <c r="TWN22" s="101"/>
      <c r="TWO22" s="101"/>
      <c r="TWP22" s="101"/>
      <c r="TWQ22" s="101"/>
      <c r="TWR22" s="101"/>
      <c r="TWS22" s="101"/>
      <c r="TWT22" s="101"/>
      <c r="TWU22" s="101"/>
      <c r="TWV22" s="101"/>
      <c r="TWW22" s="101"/>
      <c r="TWX22" s="101"/>
      <c r="TWY22" s="101"/>
      <c r="TWZ22" s="101"/>
      <c r="TXA22" s="101"/>
      <c r="TXB22" s="101"/>
      <c r="TXC22" s="101"/>
      <c r="TXD22" s="101"/>
      <c r="TXE22" s="101"/>
      <c r="TXF22" s="101"/>
      <c r="TXG22" s="101"/>
      <c r="TXH22" s="101"/>
      <c r="TXI22" s="101"/>
      <c r="TXJ22" s="101"/>
      <c r="TXK22" s="101"/>
      <c r="TXL22" s="101"/>
      <c r="TXM22" s="101"/>
      <c r="TXN22" s="101"/>
      <c r="TXO22" s="101"/>
      <c r="TXP22" s="101"/>
      <c r="TXQ22" s="101"/>
      <c r="TXR22" s="101"/>
      <c r="TXS22" s="101"/>
      <c r="TXT22" s="101"/>
      <c r="TXU22" s="101"/>
      <c r="TXV22" s="101"/>
      <c r="TXW22" s="101"/>
      <c r="TXX22" s="101"/>
      <c r="TXY22" s="101"/>
      <c r="TXZ22" s="101"/>
      <c r="TYA22" s="101"/>
      <c r="TYB22" s="101"/>
      <c r="TYC22" s="101"/>
      <c r="TYD22" s="101"/>
      <c r="TYE22" s="101"/>
      <c r="TYF22" s="101"/>
      <c r="TYG22" s="101"/>
      <c r="TYH22" s="101"/>
      <c r="TYI22" s="101"/>
      <c r="TYJ22" s="101"/>
      <c r="TYK22" s="101"/>
      <c r="TYL22" s="101"/>
      <c r="TYM22" s="101"/>
      <c r="TYN22" s="101"/>
      <c r="TYO22" s="101"/>
      <c r="TYP22" s="101"/>
      <c r="TYQ22" s="101"/>
      <c r="TYR22" s="101"/>
      <c r="TYS22" s="101"/>
      <c r="TYT22" s="101"/>
      <c r="TYU22" s="101"/>
      <c r="TYV22" s="101"/>
      <c r="TYW22" s="101"/>
      <c r="TYX22" s="101"/>
      <c r="TYY22" s="101"/>
      <c r="TYZ22" s="101"/>
      <c r="TZA22" s="101"/>
      <c r="TZB22" s="101"/>
      <c r="TZC22" s="101"/>
      <c r="TZD22" s="101"/>
      <c r="TZE22" s="101"/>
      <c r="TZF22" s="101"/>
      <c r="TZG22" s="101"/>
      <c r="TZH22" s="101"/>
      <c r="TZI22" s="101"/>
      <c r="TZJ22" s="101"/>
      <c r="TZK22" s="101"/>
      <c r="TZL22" s="101"/>
      <c r="TZM22" s="101"/>
      <c r="TZN22" s="101"/>
      <c r="TZO22" s="101"/>
      <c r="TZP22" s="101"/>
      <c r="TZQ22" s="101"/>
      <c r="TZR22" s="101"/>
      <c r="TZS22" s="101"/>
      <c r="TZT22" s="101"/>
      <c r="TZU22" s="101"/>
      <c r="TZV22" s="101"/>
      <c r="TZW22" s="101"/>
      <c r="TZX22" s="101"/>
      <c r="TZY22" s="101"/>
      <c r="TZZ22" s="101"/>
      <c r="UAA22" s="101"/>
      <c r="UAB22" s="101"/>
      <c r="UAC22" s="101"/>
      <c r="UAD22" s="101"/>
      <c r="UAE22" s="101"/>
      <c r="UAF22" s="101"/>
      <c r="UAG22" s="101"/>
      <c r="UAH22" s="101"/>
      <c r="UAI22" s="101"/>
      <c r="UAJ22" s="101"/>
      <c r="UAK22" s="101"/>
      <c r="UAL22" s="101"/>
      <c r="UAM22" s="101"/>
      <c r="UAN22" s="101"/>
      <c r="UAO22" s="101"/>
      <c r="UAP22" s="101"/>
      <c r="UAQ22" s="101"/>
      <c r="UAR22" s="101"/>
      <c r="UAS22" s="101"/>
      <c r="UAT22" s="101"/>
      <c r="UAU22" s="101"/>
      <c r="UAV22" s="101"/>
      <c r="UAW22" s="101"/>
      <c r="UAX22" s="101"/>
      <c r="UAY22" s="101"/>
      <c r="UAZ22" s="101"/>
      <c r="UBA22" s="101"/>
      <c r="UBB22" s="101"/>
      <c r="UBC22" s="101"/>
      <c r="UBD22" s="101"/>
      <c r="UBE22" s="101"/>
      <c r="UBF22" s="101"/>
      <c r="UBG22" s="101"/>
      <c r="UBH22" s="101"/>
      <c r="UBI22" s="101"/>
      <c r="UBJ22" s="101"/>
      <c r="UBK22" s="101"/>
      <c r="UBL22" s="101"/>
      <c r="UBM22" s="101"/>
      <c r="UBN22" s="101"/>
      <c r="UBO22" s="101"/>
      <c r="UBP22" s="101"/>
      <c r="UBQ22" s="101"/>
      <c r="UBR22" s="101"/>
      <c r="UBS22" s="101"/>
      <c r="UBT22" s="101"/>
      <c r="UBU22" s="101"/>
      <c r="UBV22" s="101"/>
      <c r="UBW22" s="101"/>
      <c r="UBX22" s="101"/>
      <c r="UBY22" s="101"/>
      <c r="UBZ22" s="101"/>
      <c r="UCA22" s="101"/>
      <c r="UCB22" s="101"/>
      <c r="UCC22" s="101"/>
      <c r="UCD22" s="101"/>
      <c r="UCE22" s="101"/>
      <c r="UCF22" s="101"/>
      <c r="UCG22" s="101"/>
      <c r="UCH22" s="101"/>
      <c r="UCI22" s="101"/>
      <c r="UCJ22" s="101"/>
      <c r="UCK22" s="101"/>
      <c r="UCL22" s="101"/>
      <c r="UCM22" s="101"/>
      <c r="UCN22" s="101"/>
      <c r="UCO22" s="101"/>
      <c r="UCP22" s="101"/>
      <c r="UCQ22" s="101"/>
      <c r="UCR22" s="101"/>
      <c r="UCS22" s="101"/>
      <c r="UCT22" s="101"/>
      <c r="UCU22" s="101"/>
      <c r="UCV22" s="101"/>
      <c r="UCW22" s="101"/>
      <c r="UCX22" s="101"/>
      <c r="UCY22" s="101"/>
      <c r="UCZ22" s="101"/>
      <c r="UDA22" s="101"/>
      <c r="UDB22" s="101"/>
      <c r="UDC22" s="101"/>
      <c r="UDD22" s="101"/>
      <c r="UDE22" s="101"/>
      <c r="UDF22" s="101"/>
      <c r="UDG22" s="101"/>
      <c r="UDH22" s="101"/>
      <c r="UDI22" s="101"/>
      <c r="UDJ22" s="101"/>
      <c r="UDK22" s="101"/>
      <c r="UDL22" s="101"/>
      <c r="UDM22" s="101"/>
      <c r="UDN22" s="101"/>
      <c r="UDO22" s="101"/>
      <c r="UDP22" s="101"/>
      <c r="UDQ22" s="101"/>
      <c r="UDR22" s="101"/>
      <c r="UDS22" s="101"/>
      <c r="UDT22" s="101"/>
      <c r="UDU22" s="101"/>
      <c r="UDV22" s="101"/>
      <c r="UDW22" s="101"/>
      <c r="UDX22" s="101"/>
      <c r="UDY22" s="101"/>
      <c r="UDZ22" s="101"/>
      <c r="UEA22" s="101"/>
      <c r="UEB22" s="101"/>
      <c r="UEC22" s="101"/>
      <c r="UED22" s="101"/>
      <c r="UEE22" s="101"/>
      <c r="UEF22" s="101"/>
      <c r="UEG22" s="101"/>
      <c r="UEH22" s="101"/>
      <c r="UEI22" s="101"/>
      <c r="UEJ22" s="101"/>
      <c r="UEK22" s="101"/>
      <c r="UEL22" s="101"/>
      <c r="UEM22" s="101"/>
      <c r="UEN22" s="101"/>
      <c r="UEO22" s="101"/>
      <c r="UEP22" s="101"/>
      <c r="UEQ22" s="101"/>
      <c r="UER22" s="101"/>
      <c r="UES22" s="101"/>
      <c r="UET22" s="101"/>
      <c r="UEU22" s="101"/>
      <c r="UEV22" s="101"/>
      <c r="UEW22" s="101"/>
      <c r="UEX22" s="101"/>
      <c r="UEY22" s="101"/>
      <c r="UEZ22" s="101"/>
      <c r="UFA22" s="101"/>
      <c r="UFB22" s="101"/>
      <c r="UFC22" s="101"/>
      <c r="UFD22" s="101"/>
      <c r="UFE22" s="101"/>
      <c r="UFF22" s="101"/>
      <c r="UFG22" s="101"/>
      <c r="UFH22" s="101"/>
      <c r="UFI22" s="101"/>
      <c r="UFJ22" s="101"/>
      <c r="UFK22" s="101"/>
      <c r="UFL22" s="101"/>
      <c r="UFM22" s="101"/>
      <c r="UFN22" s="101"/>
      <c r="UFO22" s="101"/>
      <c r="UFP22" s="101"/>
      <c r="UFQ22" s="101"/>
      <c r="UFR22" s="101"/>
      <c r="UFS22" s="101"/>
      <c r="UFT22" s="101"/>
      <c r="UFU22" s="101"/>
      <c r="UFV22" s="101"/>
      <c r="UFW22" s="101"/>
      <c r="UFX22" s="101"/>
      <c r="UFY22" s="101"/>
      <c r="UFZ22" s="101"/>
      <c r="UGA22" s="101"/>
      <c r="UGB22" s="101"/>
      <c r="UGC22" s="101"/>
      <c r="UGD22" s="101"/>
      <c r="UGE22" s="101"/>
      <c r="UGF22" s="101"/>
      <c r="UGG22" s="101"/>
      <c r="UGH22" s="101"/>
      <c r="UGI22" s="101"/>
      <c r="UGJ22" s="101"/>
      <c r="UGK22" s="101"/>
      <c r="UGL22" s="101"/>
      <c r="UGM22" s="101"/>
      <c r="UGN22" s="101"/>
      <c r="UGO22" s="101"/>
      <c r="UGP22" s="101"/>
      <c r="UGQ22" s="101"/>
      <c r="UGR22" s="101"/>
      <c r="UGS22" s="101"/>
      <c r="UGT22" s="101"/>
      <c r="UGU22" s="101"/>
      <c r="UGV22" s="101"/>
      <c r="UGW22" s="101"/>
      <c r="UGX22" s="101"/>
      <c r="UGY22" s="101"/>
      <c r="UGZ22" s="101"/>
      <c r="UHA22" s="101"/>
      <c r="UHB22" s="101"/>
      <c r="UHC22" s="101"/>
      <c r="UHD22" s="101"/>
      <c r="UHE22" s="101"/>
      <c r="UHF22" s="101"/>
      <c r="UHG22" s="101"/>
      <c r="UHH22" s="101"/>
      <c r="UHI22" s="101"/>
      <c r="UHJ22" s="101"/>
      <c r="UHK22" s="101"/>
      <c r="UHL22" s="101"/>
      <c r="UHM22" s="101"/>
      <c r="UHN22" s="101"/>
      <c r="UHO22" s="101"/>
      <c r="UHP22" s="101"/>
      <c r="UHQ22" s="101"/>
      <c r="UHR22" s="101"/>
      <c r="UHS22" s="101"/>
      <c r="UHT22" s="101"/>
      <c r="UHU22" s="101"/>
      <c r="UHV22" s="101"/>
      <c r="UHW22" s="101"/>
      <c r="UHX22" s="101"/>
      <c r="UHY22" s="101"/>
      <c r="UHZ22" s="101"/>
      <c r="UIA22" s="101"/>
      <c r="UIB22" s="101"/>
      <c r="UIC22" s="101"/>
      <c r="UID22" s="101"/>
      <c r="UIE22" s="101"/>
      <c r="UIF22" s="101"/>
      <c r="UIG22" s="101"/>
      <c r="UIH22" s="101"/>
      <c r="UII22" s="101"/>
      <c r="UIJ22" s="101"/>
      <c r="UIK22" s="101"/>
      <c r="UIL22" s="101"/>
      <c r="UIM22" s="101"/>
      <c r="UIN22" s="101"/>
      <c r="UIO22" s="101"/>
      <c r="UIP22" s="101"/>
      <c r="UIQ22" s="101"/>
      <c r="UIR22" s="101"/>
      <c r="UIS22" s="101"/>
      <c r="UIT22" s="101"/>
      <c r="UIU22" s="101"/>
      <c r="UIV22" s="101"/>
      <c r="UIW22" s="101"/>
      <c r="UIX22" s="101"/>
      <c r="UIY22" s="101"/>
      <c r="UIZ22" s="101"/>
      <c r="UJA22" s="101"/>
      <c r="UJB22" s="101"/>
      <c r="UJC22" s="101"/>
      <c r="UJD22" s="101"/>
      <c r="UJE22" s="101"/>
      <c r="UJF22" s="101"/>
      <c r="UJG22" s="101"/>
      <c r="UJH22" s="101"/>
      <c r="UJI22" s="101"/>
      <c r="UJJ22" s="101"/>
      <c r="UJK22" s="101"/>
      <c r="UJL22" s="101"/>
      <c r="UJM22" s="101"/>
      <c r="UJN22" s="101"/>
      <c r="UJO22" s="101"/>
      <c r="UJP22" s="101"/>
      <c r="UJQ22" s="101"/>
      <c r="UJR22" s="101"/>
      <c r="UJS22" s="101"/>
      <c r="UJT22" s="101"/>
      <c r="UJU22" s="101"/>
      <c r="UJV22" s="101"/>
      <c r="UJW22" s="101"/>
      <c r="UJX22" s="101"/>
      <c r="UJY22" s="101"/>
      <c r="UJZ22" s="101"/>
      <c r="UKA22" s="101"/>
      <c r="UKB22" s="101"/>
      <c r="UKC22" s="101"/>
      <c r="UKD22" s="101"/>
      <c r="UKE22" s="101"/>
      <c r="UKF22" s="101"/>
      <c r="UKG22" s="101"/>
      <c r="UKH22" s="101"/>
      <c r="UKI22" s="101"/>
      <c r="UKJ22" s="101"/>
      <c r="UKK22" s="101"/>
      <c r="UKL22" s="101"/>
      <c r="UKM22" s="101"/>
      <c r="UKN22" s="101"/>
      <c r="UKO22" s="101"/>
      <c r="UKP22" s="101"/>
      <c r="UKQ22" s="101"/>
      <c r="UKR22" s="101"/>
      <c r="UKS22" s="101"/>
      <c r="UKT22" s="101"/>
      <c r="UKU22" s="101"/>
      <c r="UKV22" s="101"/>
      <c r="UKW22" s="101"/>
      <c r="UKX22" s="101"/>
      <c r="UKY22" s="101"/>
      <c r="UKZ22" s="101"/>
      <c r="ULA22" s="101"/>
      <c r="ULB22" s="101"/>
      <c r="ULC22" s="101"/>
      <c r="ULD22" s="101"/>
      <c r="ULE22" s="101"/>
      <c r="ULF22" s="101"/>
      <c r="ULG22" s="101"/>
      <c r="ULH22" s="101"/>
      <c r="ULI22" s="101"/>
      <c r="ULJ22" s="101"/>
      <c r="ULK22" s="101"/>
      <c r="ULL22" s="101"/>
      <c r="ULM22" s="101"/>
      <c r="ULN22" s="101"/>
      <c r="ULO22" s="101"/>
      <c r="ULP22" s="101"/>
      <c r="ULQ22" s="101"/>
      <c r="ULR22" s="101"/>
      <c r="ULS22" s="101"/>
      <c r="ULT22" s="101"/>
      <c r="ULU22" s="101"/>
      <c r="ULV22" s="101"/>
      <c r="ULW22" s="101"/>
      <c r="ULX22" s="101"/>
      <c r="ULY22" s="101"/>
      <c r="ULZ22" s="101"/>
      <c r="UMA22" s="101"/>
      <c r="UMB22" s="101"/>
      <c r="UMC22" s="101"/>
      <c r="UMD22" s="101"/>
      <c r="UME22" s="101"/>
      <c r="UMF22" s="101"/>
      <c r="UMG22" s="101"/>
      <c r="UMH22" s="101"/>
      <c r="UMI22" s="101"/>
      <c r="UMJ22" s="101"/>
      <c r="UMK22" s="101"/>
      <c r="UML22" s="101"/>
      <c r="UMM22" s="101"/>
      <c r="UMN22" s="101"/>
      <c r="UMO22" s="101"/>
      <c r="UMP22" s="101"/>
      <c r="UMQ22" s="101"/>
      <c r="UMR22" s="101"/>
      <c r="UMS22" s="101"/>
      <c r="UMT22" s="101"/>
      <c r="UMU22" s="101"/>
      <c r="UMV22" s="101"/>
      <c r="UMW22" s="101"/>
      <c r="UMX22" s="101"/>
      <c r="UMY22" s="101"/>
      <c r="UMZ22" s="101"/>
      <c r="UNA22" s="101"/>
      <c r="UNB22" s="101"/>
      <c r="UNC22" s="101"/>
      <c r="UND22" s="101"/>
      <c r="UNE22" s="101"/>
      <c r="UNF22" s="101"/>
      <c r="UNG22" s="101"/>
      <c r="UNH22" s="101"/>
      <c r="UNI22" s="101"/>
      <c r="UNJ22" s="101"/>
      <c r="UNK22" s="101"/>
      <c r="UNL22" s="101"/>
      <c r="UNM22" s="101"/>
      <c r="UNN22" s="101"/>
      <c r="UNO22" s="101"/>
      <c r="UNP22" s="101"/>
      <c r="UNQ22" s="101"/>
      <c r="UNR22" s="101"/>
      <c r="UNS22" s="101"/>
      <c r="UNT22" s="101"/>
      <c r="UNU22" s="101"/>
      <c r="UNV22" s="101"/>
      <c r="UNW22" s="101"/>
      <c r="UNX22" s="101"/>
      <c r="UNY22" s="101"/>
      <c r="UNZ22" s="101"/>
      <c r="UOA22" s="101"/>
      <c r="UOB22" s="101"/>
      <c r="UOC22" s="101"/>
      <c r="UOD22" s="101"/>
      <c r="UOE22" s="101"/>
      <c r="UOF22" s="101"/>
      <c r="UOG22" s="101"/>
      <c r="UOH22" s="101"/>
      <c r="UOI22" s="101"/>
      <c r="UOJ22" s="101"/>
      <c r="UOK22" s="101"/>
      <c r="UOL22" s="101"/>
      <c r="UOM22" s="101"/>
      <c r="UON22" s="101"/>
      <c r="UOO22" s="101"/>
      <c r="UOP22" s="101"/>
      <c r="UOQ22" s="101"/>
      <c r="UOR22" s="101"/>
      <c r="UOS22" s="101"/>
      <c r="UOT22" s="101"/>
      <c r="UOU22" s="101"/>
      <c r="UOV22" s="101"/>
      <c r="UOW22" s="101"/>
      <c r="UOX22" s="101"/>
      <c r="UOY22" s="101"/>
      <c r="UOZ22" s="101"/>
      <c r="UPA22" s="101"/>
      <c r="UPB22" s="101"/>
      <c r="UPC22" s="101"/>
      <c r="UPD22" s="101"/>
      <c r="UPE22" s="101"/>
      <c r="UPF22" s="101"/>
      <c r="UPG22" s="101"/>
      <c r="UPH22" s="101"/>
      <c r="UPI22" s="101"/>
      <c r="UPJ22" s="101"/>
      <c r="UPK22" s="101"/>
      <c r="UPL22" s="101"/>
      <c r="UPM22" s="101"/>
      <c r="UPN22" s="101"/>
      <c r="UPO22" s="101"/>
      <c r="UPP22" s="101"/>
      <c r="UPQ22" s="101"/>
      <c r="UPR22" s="101"/>
      <c r="UPS22" s="101"/>
      <c r="UPT22" s="101"/>
      <c r="UPU22" s="101"/>
      <c r="UPV22" s="101"/>
      <c r="UPW22" s="101"/>
      <c r="UPX22" s="101"/>
      <c r="UPY22" s="101"/>
      <c r="UPZ22" s="101"/>
      <c r="UQA22" s="101"/>
      <c r="UQB22" s="101"/>
      <c r="UQC22" s="101"/>
      <c r="UQD22" s="101"/>
      <c r="UQE22" s="101"/>
      <c r="UQF22" s="101"/>
      <c r="UQG22" s="101"/>
      <c r="UQH22" s="101"/>
      <c r="UQI22" s="101"/>
      <c r="UQJ22" s="101"/>
      <c r="UQK22" s="101"/>
      <c r="UQL22" s="101"/>
      <c r="UQM22" s="101"/>
      <c r="UQN22" s="101"/>
      <c r="UQO22" s="101"/>
      <c r="UQP22" s="101"/>
      <c r="UQQ22" s="101"/>
      <c r="UQR22" s="101"/>
      <c r="UQS22" s="101"/>
      <c r="UQT22" s="101"/>
      <c r="UQU22" s="101"/>
      <c r="UQV22" s="101"/>
      <c r="UQW22" s="101"/>
      <c r="UQX22" s="101"/>
      <c r="UQY22" s="101"/>
      <c r="UQZ22" s="101"/>
      <c r="URA22" s="101"/>
      <c r="URB22" s="101"/>
      <c r="URC22" s="101"/>
      <c r="URD22" s="101"/>
      <c r="URE22" s="101"/>
      <c r="URF22" s="101"/>
      <c r="URG22" s="101"/>
      <c r="URH22" s="101"/>
      <c r="URI22" s="101"/>
      <c r="URJ22" s="101"/>
      <c r="URK22" s="101"/>
      <c r="URL22" s="101"/>
      <c r="URM22" s="101"/>
      <c r="URN22" s="101"/>
      <c r="URO22" s="101"/>
      <c r="URP22" s="101"/>
      <c r="URQ22" s="101"/>
      <c r="URR22" s="101"/>
      <c r="URS22" s="101"/>
      <c r="URT22" s="101"/>
      <c r="URU22" s="101"/>
      <c r="URV22" s="101"/>
      <c r="URW22" s="101"/>
      <c r="URX22" s="101"/>
      <c r="URY22" s="101"/>
      <c r="URZ22" s="101"/>
      <c r="USA22" s="101"/>
      <c r="USB22" s="101"/>
      <c r="USC22" s="101"/>
      <c r="USD22" s="101"/>
      <c r="USE22" s="101"/>
      <c r="USF22" s="101"/>
      <c r="USG22" s="101"/>
      <c r="USH22" s="101"/>
      <c r="USI22" s="101"/>
      <c r="USJ22" s="101"/>
      <c r="USK22" s="101"/>
      <c r="USL22" s="101"/>
      <c r="USM22" s="101"/>
      <c r="USN22" s="101"/>
      <c r="USO22" s="101"/>
      <c r="USP22" s="101"/>
      <c r="USQ22" s="101"/>
      <c r="USR22" s="101"/>
      <c r="USS22" s="101"/>
      <c r="UST22" s="101"/>
      <c r="USU22" s="101"/>
      <c r="USV22" s="101"/>
      <c r="USW22" s="101"/>
      <c r="USX22" s="101"/>
      <c r="USY22" s="101"/>
      <c r="USZ22" s="101"/>
      <c r="UTA22" s="101"/>
      <c r="UTB22" s="101"/>
      <c r="UTC22" s="101"/>
      <c r="UTD22" s="101"/>
      <c r="UTE22" s="101"/>
      <c r="UTF22" s="101"/>
      <c r="UTG22" s="101"/>
      <c r="UTH22" s="101"/>
      <c r="UTI22" s="101"/>
      <c r="UTJ22" s="101"/>
      <c r="UTK22" s="101"/>
      <c r="UTL22" s="101"/>
      <c r="UTM22" s="101"/>
      <c r="UTN22" s="101"/>
      <c r="UTO22" s="101"/>
      <c r="UTP22" s="101"/>
      <c r="UTQ22" s="101"/>
      <c r="UTR22" s="101"/>
      <c r="UTS22" s="101"/>
      <c r="UTT22" s="101"/>
      <c r="UTU22" s="101"/>
      <c r="UTV22" s="101"/>
      <c r="UTW22" s="101"/>
      <c r="UTX22" s="101"/>
      <c r="UTY22" s="101"/>
      <c r="UTZ22" s="101"/>
      <c r="UUA22" s="101"/>
      <c r="UUB22" s="101"/>
      <c r="UUC22" s="101"/>
      <c r="UUD22" s="101"/>
      <c r="UUE22" s="101"/>
      <c r="UUF22" s="101"/>
      <c r="UUG22" s="101"/>
      <c r="UUH22" s="101"/>
      <c r="UUI22" s="101"/>
      <c r="UUJ22" s="101"/>
      <c r="UUK22" s="101"/>
      <c r="UUL22" s="101"/>
      <c r="UUM22" s="101"/>
      <c r="UUN22" s="101"/>
      <c r="UUO22" s="101"/>
      <c r="UUP22" s="101"/>
      <c r="UUQ22" s="101"/>
      <c r="UUR22" s="101"/>
      <c r="UUS22" s="101"/>
      <c r="UUT22" s="101"/>
      <c r="UUU22" s="101"/>
      <c r="UUV22" s="101"/>
      <c r="UUW22" s="101"/>
      <c r="UUX22" s="101"/>
      <c r="UUY22" s="101"/>
      <c r="UUZ22" s="101"/>
      <c r="UVA22" s="101"/>
      <c r="UVB22" s="101"/>
      <c r="UVC22" s="101"/>
      <c r="UVD22" s="101"/>
      <c r="UVE22" s="101"/>
      <c r="UVF22" s="101"/>
      <c r="UVG22" s="101"/>
      <c r="UVH22" s="101"/>
      <c r="UVI22" s="101"/>
      <c r="UVJ22" s="101"/>
      <c r="UVK22" s="101"/>
      <c r="UVL22" s="101"/>
      <c r="UVM22" s="101"/>
      <c r="UVN22" s="101"/>
      <c r="UVO22" s="101"/>
      <c r="UVP22" s="101"/>
      <c r="UVQ22" s="101"/>
      <c r="UVR22" s="101"/>
      <c r="UVS22" s="101"/>
      <c r="UVT22" s="101"/>
      <c r="UVU22" s="101"/>
      <c r="UVV22" s="101"/>
      <c r="UVW22" s="101"/>
      <c r="UVX22" s="101"/>
      <c r="UVY22" s="101"/>
      <c r="UVZ22" s="101"/>
      <c r="UWA22" s="101"/>
      <c r="UWB22" s="101"/>
      <c r="UWC22" s="101"/>
      <c r="UWD22" s="101"/>
      <c r="UWE22" s="101"/>
      <c r="UWF22" s="101"/>
      <c r="UWG22" s="101"/>
      <c r="UWH22" s="101"/>
      <c r="UWI22" s="101"/>
      <c r="UWJ22" s="101"/>
      <c r="UWK22" s="101"/>
      <c r="UWL22" s="101"/>
      <c r="UWM22" s="101"/>
      <c r="UWN22" s="101"/>
      <c r="UWO22" s="101"/>
      <c r="UWP22" s="101"/>
      <c r="UWQ22" s="101"/>
      <c r="UWR22" s="101"/>
      <c r="UWS22" s="101"/>
      <c r="UWT22" s="101"/>
      <c r="UWU22" s="101"/>
      <c r="UWV22" s="101"/>
      <c r="UWW22" s="101"/>
      <c r="UWX22" s="101"/>
      <c r="UWY22" s="101"/>
      <c r="UWZ22" s="101"/>
      <c r="UXA22" s="101"/>
      <c r="UXB22" s="101"/>
      <c r="UXC22" s="101"/>
      <c r="UXD22" s="101"/>
      <c r="UXE22" s="101"/>
      <c r="UXF22" s="101"/>
      <c r="UXG22" s="101"/>
      <c r="UXH22" s="101"/>
      <c r="UXI22" s="101"/>
      <c r="UXJ22" s="101"/>
      <c r="UXK22" s="101"/>
      <c r="UXL22" s="101"/>
      <c r="UXM22" s="101"/>
      <c r="UXN22" s="101"/>
      <c r="UXO22" s="101"/>
      <c r="UXP22" s="101"/>
      <c r="UXQ22" s="101"/>
      <c r="UXR22" s="101"/>
      <c r="UXS22" s="101"/>
      <c r="UXT22" s="101"/>
      <c r="UXU22" s="101"/>
      <c r="UXV22" s="101"/>
      <c r="UXW22" s="101"/>
      <c r="UXX22" s="101"/>
      <c r="UXY22" s="101"/>
      <c r="UXZ22" s="101"/>
      <c r="UYA22" s="101"/>
      <c r="UYB22" s="101"/>
      <c r="UYC22" s="101"/>
      <c r="UYD22" s="101"/>
      <c r="UYE22" s="101"/>
      <c r="UYF22" s="101"/>
      <c r="UYG22" s="101"/>
      <c r="UYH22" s="101"/>
      <c r="UYI22" s="101"/>
      <c r="UYJ22" s="101"/>
      <c r="UYK22" s="101"/>
      <c r="UYL22" s="101"/>
      <c r="UYM22" s="101"/>
      <c r="UYN22" s="101"/>
      <c r="UYO22" s="101"/>
      <c r="UYP22" s="101"/>
      <c r="UYQ22" s="101"/>
      <c r="UYR22" s="101"/>
      <c r="UYS22" s="101"/>
      <c r="UYT22" s="101"/>
      <c r="UYU22" s="101"/>
      <c r="UYV22" s="101"/>
      <c r="UYW22" s="101"/>
      <c r="UYX22" s="101"/>
      <c r="UYY22" s="101"/>
      <c r="UYZ22" s="101"/>
      <c r="UZA22" s="101"/>
      <c r="UZB22" s="101"/>
      <c r="UZC22" s="101"/>
      <c r="UZD22" s="101"/>
      <c r="UZE22" s="101"/>
      <c r="UZF22" s="101"/>
      <c r="UZG22" s="101"/>
      <c r="UZH22" s="101"/>
      <c r="UZI22" s="101"/>
      <c r="UZJ22" s="101"/>
      <c r="UZK22" s="101"/>
      <c r="UZL22" s="101"/>
      <c r="UZM22" s="101"/>
      <c r="UZN22" s="101"/>
      <c r="UZO22" s="101"/>
      <c r="UZP22" s="101"/>
      <c r="UZQ22" s="101"/>
      <c r="UZR22" s="101"/>
      <c r="UZS22" s="101"/>
      <c r="UZT22" s="101"/>
      <c r="UZU22" s="101"/>
      <c r="UZV22" s="101"/>
      <c r="UZW22" s="101"/>
      <c r="UZX22" s="101"/>
      <c r="UZY22" s="101"/>
      <c r="UZZ22" s="101"/>
      <c r="VAA22" s="101"/>
      <c r="VAB22" s="101"/>
      <c r="VAC22" s="101"/>
      <c r="VAD22" s="101"/>
      <c r="VAE22" s="101"/>
      <c r="VAF22" s="101"/>
      <c r="VAG22" s="101"/>
      <c r="VAH22" s="101"/>
      <c r="VAI22" s="101"/>
      <c r="VAJ22" s="101"/>
      <c r="VAK22" s="101"/>
      <c r="VAL22" s="101"/>
      <c r="VAM22" s="101"/>
      <c r="VAN22" s="101"/>
      <c r="VAO22" s="101"/>
      <c r="VAP22" s="101"/>
      <c r="VAQ22" s="101"/>
      <c r="VAR22" s="101"/>
      <c r="VAS22" s="101"/>
      <c r="VAT22" s="101"/>
      <c r="VAU22" s="101"/>
      <c r="VAV22" s="101"/>
      <c r="VAW22" s="101"/>
      <c r="VAX22" s="101"/>
      <c r="VAY22" s="101"/>
      <c r="VAZ22" s="101"/>
      <c r="VBA22" s="101"/>
      <c r="VBB22" s="101"/>
      <c r="VBC22" s="101"/>
      <c r="VBD22" s="101"/>
      <c r="VBE22" s="101"/>
      <c r="VBF22" s="101"/>
      <c r="VBG22" s="101"/>
      <c r="VBH22" s="101"/>
      <c r="VBI22" s="101"/>
      <c r="VBJ22" s="101"/>
      <c r="VBK22" s="101"/>
      <c r="VBL22" s="101"/>
      <c r="VBM22" s="101"/>
      <c r="VBN22" s="101"/>
      <c r="VBO22" s="101"/>
      <c r="VBP22" s="101"/>
      <c r="VBQ22" s="101"/>
      <c r="VBR22" s="101"/>
      <c r="VBS22" s="101"/>
      <c r="VBT22" s="101"/>
      <c r="VBU22" s="101"/>
      <c r="VBV22" s="101"/>
      <c r="VBW22" s="101"/>
      <c r="VBX22" s="101"/>
      <c r="VBY22" s="101"/>
      <c r="VBZ22" s="101"/>
      <c r="VCA22" s="101"/>
      <c r="VCB22" s="101"/>
      <c r="VCC22" s="101"/>
      <c r="VCD22" s="101"/>
      <c r="VCE22" s="101"/>
      <c r="VCF22" s="101"/>
      <c r="VCG22" s="101"/>
      <c r="VCH22" s="101"/>
      <c r="VCI22" s="101"/>
      <c r="VCJ22" s="101"/>
      <c r="VCK22" s="101"/>
      <c r="VCL22" s="101"/>
      <c r="VCM22" s="101"/>
      <c r="VCN22" s="101"/>
      <c r="VCO22" s="101"/>
      <c r="VCP22" s="101"/>
      <c r="VCQ22" s="101"/>
      <c r="VCR22" s="101"/>
      <c r="VCS22" s="101"/>
      <c r="VCT22" s="101"/>
      <c r="VCU22" s="101"/>
      <c r="VCV22" s="101"/>
      <c r="VCW22" s="101"/>
      <c r="VCX22" s="101"/>
      <c r="VCY22" s="101"/>
      <c r="VCZ22" s="101"/>
      <c r="VDA22" s="101"/>
      <c r="VDB22" s="101"/>
      <c r="VDC22" s="101"/>
      <c r="VDD22" s="101"/>
      <c r="VDE22" s="101"/>
      <c r="VDF22" s="101"/>
      <c r="VDG22" s="101"/>
      <c r="VDH22" s="101"/>
      <c r="VDI22" s="101"/>
      <c r="VDJ22" s="101"/>
      <c r="VDK22" s="101"/>
      <c r="VDL22" s="101"/>
      <c r="VDM22" s="101"/>
      <c r="VDN22" s="101"/>
      <c r="VDO22" s="101"/>
      <c r="VDP22" s="101"/>
      <c r="VDQ22" s="101"/>
      <c r="VDR22" s="101"/>
      <c r="VDS22" s="101"/>
      <c r="VDT22" s="101"/>
      <c r="VDU22" s="101"/>
      <c r="VDV22" s="101"/>
      <c r="VDW22" s="101"/>
      <c r="VDX22" s="101"/>
      <c r="VDY22" s="101"/>
      <c r="VDZ22" s="101"/>
      <c r="VEA22" s="101"/>
      <c r="VEB22" s="101"/>
      <c r="VEC22" s="101"/>
      <c r="VED22" s="101"/>
      <c r="VEE22" s="101"/>
      <c r="VEF22" s="101"/>
      <c r="VEG22" s="101"/>
      <c r="VEH22" s="101"/>
      <c r="VEI22" s="101"/>
      <c r="VEJ22" s="101"/>
      <c r="VEK22" s="101"/>
      <c r="VEL22" s="101"/>
      <c r="VEM22" s="101"/>
      <c r="VEN22" s="101"/>
      <c r="VEO22" s="101"/>
      <c r="VEP22" s="101"/>
      <c r="VEQ22" s="101"/>
      <c r="VER22" s="101"/>
      <c r="VES22" s="101"/>
      <c r="VET22" s="101"/>
      <c r="VEU22" s="101"/>
      <c r="VEV22" s="101"/>
      <c r="VEW22" s="101"/>
      <c r="VEX22" s="101"/>
      <c r="VEY22" s="101"/>
      <c r="VEZ22" s="101"/>
      <c r="VFA22" s="101"/>
      <c r="VFB22" s="101"/>
      <c r="VFC22" s="101"/>
      <c r="VFD22" s="101"/>
      <c r="VFE22" s="101"/>
      <c r="VFF22" s="101"/>
      <c r="VFG22" s="101"/>
      <c r="VFH22" s="101"/>
      <c r="VFI22" s="101"/>
      <c r="VFJ22" s="101"/>
      <c r="VFK22" s="101"/>
      <c r="VFL22" s="101"/>
      <c r="VFM22" s="101"/>
      <c r="VFN22" s="101"/>
      <c r="VFO22" s="101"/>
      <c r="VFP22" s="101"/>
      <c r="VFQ22" s="101"/>
      <c r="VFR22" s="101"/>
      <c r="VFS22" s="101"/>
      <c r="VFT22" s="101"/>
      <c r="VFU22" s="101"/>
      <c r="VFV22" s="101"/>
      <c r="VFW22" s="101"/>
      <c r="VFX22" s="101"/>
      <c r="VFY22" s="101"/>
      <c r="VFZ22" s="101"/>
      <c r="VGA22" s="101"/>
      <c r="VGB22" s="101"/>
      <c r="VGC22" s="101"/>
      <c r="VGD22" s="101"/>
      <c r="VGE22" s="101"/>
      <c r="VGF22" s="101"/>
      <c r="VGG22" s="101"/>
      <c r="VGH22" s="101"/>
      <c r="VGI22" s="101"/>
      <c r="VGJ22" s="101"/>
      <c r="VGK22" s="101"/>
      <c r="VGL22" s="101"/>
      <c r="VGM22" s="101"/>
      <c r="VGN22" s="101"/>
      <c r="VGO22" s="101"/>
      <c r="VGP22" s="101"/>
      <c r="VGQ22" s="101"/>
      <c r="VGR22" s="101"/>
      <c r="VGS22" s="101"/>
      <c r="VGT22" s="101"/>
      <c r="VGU22" s="101"/>
      <c r="VGV22" s="101"/>
      <c r="VGW22" s="101"/>
      <c r="VGX22" s="101"/>
      <c r="VGY22" s="101"/>
      <c r="VGZ22" s="101"/>
      <c r="VHA22" s="101"/>
      <c r="VHB22" s="101"/>
      <c r="VHC22" s="101"/>
      <c r="VHD22" s="101"/>
      <c r="VHE22" s="101"/>
      <c r="VHF22" s="101"/>
      <c r="VHG22" s="101"/>
      <c r="VHH22" s="101"/>
      <c r="VHI22" s="101"/>
      <c r="VHJ22" s="101"/>
      <c r="VHK22" s="101"/>
      <c r="VHL22" s="101"/>
      <c r="VHM22" s="101"/>
      <c r="VHN22" s="101"/>
      <c r="VHO22" s="101"/>
      <c r="VHP22" s="101"/>
      <c r="VHQ22" s="101"/>
      <c r="VHR22" s="101"/>
      <c r="VHS22" s="101"/>
      <c r="VHT22" s="101"/>
      <c r="VHU22" s="101"/>
      <c r="VHV22" s="101"/>
      <c r="VHW22" s="101"/>
      <c r="VHX22" s="101"/>
      <c r="VHY22" s="101"/>
      <c r="VHZ22" s="101"/>
      <c r="VIA22" s="101"/>
      <c r="VIB22" s="101"/>
      <c r="VIC22" s="101"/>
      <c r="VID22" s="101"/>
      <c r="VIE22" s="101"/>
      <c r="VIF22" s="101"/>
      <c r="VIG22" s="101"/>
      <c r="VIH22" s="101"/>
      <c r="VII22" s="101"/>
      <c r="VIJ22" s="101"/>
      <c r="VIK22" s="101"/>
      <c r="VIL22" s="101"/>
      <c r="VIM22" s="101"/>
      <c r="VIN22" s="101"/>
      <c r="VIO22" s="101"/>
      <c r="VIP22" s="101"/>
      <c r="VIQ22" s="101"/>
      <c r="VIR22" s="101"/>
      <c r="VIS22" s="101"/>
      <c r="VIT22" s="101"/>
      <c r="VIU22" s="101"/>
      <c r="VIV22" s="101"/>
      <c r="VIW22" s="101"/>
      <c r="VIX22" s="101"/>
      <c r="VIY22" s="101"/>
      <c r="VIZ22" s="101"/>
      <c r="VJA22" s="101"/>
      <c r="VJB22" s="101"/>
      <c r="VJC22" s="101"/>
      <c r="VJD22" s="101"/>
      <c r="VJE22" s="101"/>
      <c r="VJF22" s="101"/>
      <c r="VJG22" s="101"/>
      <c r="VJH22" s="101"/>
      <c r="VJI22" s="101"/>
      <c r="VJJ22" s="101"/>
      <c r="VJK22" s="101"/>
      <c r="VJL22" s="101"/>
      <c r="VJM22" s="101"/>
      <c r="VJN22" s="101"/>
      <c r="VJO22" s="101"/>
      <c r="VJP22" s="101"/>
      <c r="VJQ22" s="101"/>
      <c r="VJR22" s="101"/>
      <c r="VJS22" s="101"/>
      <c r="VJT22" s="101"/>
      <c r="VJU22" s="101"/>
      <c r="VJV22" s="101"/>
      <c r="VJW22" s="101"/>
      <c r="VJX22" s="101"/>
      <c r="VJY22" s="101"/>
      <c r="VJZ22" s="101"/>
      <c r="VKA22" s="101"/>
      <c r="VKB22" s="101"/>
      <c r="VKC22" s="101"/>
      <c r="VKD22" s="101"/>
      <c r="VKE22" s="101"/>
      <c r="VKF22" s="101"/>
      <c r="VKG22" s="101"/>
      <c r="VKH22" s="101"/>
      <c r="VKI22" s="101"/>
      <c r="VKJ22" s="101"/>
      <c r="VKK22" s="101"/>
      <c r="VKL22" s="101"/>
      <c r="VKM22" s="101"/>
      <c r="VKN22" s="101"/>
      <c r="VKO22" s="101"/>
      <c r="VKP22" s="101"/>
      <c r="VKQ22" s="101"/>
      <c r="VKR22" s="101"/>
      <c r="VKS22" s="101"/>
      <c r="VKT22" s="101"/>
      <c r="VKU22" s="101"/>
      <c r="VKV22" s="101"/>
      <c r="VKW22" s="101"/>
      <c r="VKX22" s="101"/>
      <c r="VKY22" s="101"/>
      <c r="VKZ22" s="101"/>
      <c r="VLA22" s="101"/>
      <c r="VLB22" s="101"/>
      <c r="VLC22" s="101"/>
      <c r="VLD22" s="101"/>
      <c r="VLE22" s="101"/>
      <c r="VLF22" s="101"/>
      <c r="VLG22" s="101"/>
      <c r="VLH22" s="101"/>
      <c r="VLI22" s="101"/>
      <c r="VLJ22" s="101"/>
      <c r="VLK22" s="101"/>
      <c r="VLL22" s="101"/>
      <c r="VLM22" s="101"/>
      <c r="VLN22" s="101"/>
      <c r="VLO22" s="101"/>
      <c r="VLP22" s="101"/>
      <c r="VLQ22" s="101"/>
      <c r="VLR22" s="101"/>
      <c r="VLS22" s="101"/>
      <c r="VLT22" s="101"/>
      <c r="VLU22" s="101"/>
      <c r="VLV22" s="101"/>
      <c r="VLW22" s="101"/>
      <c r="VLX22" s="101"/>
      <c r="VLY22" s="101"/>
      <c r="VLZ22" s="101"/>
      <c r="VMA22" s="101"/>
      <c r="VMB22" s="101"/>
      <c r="VMC22" s="101"/>
      <c r="VMD22" s="101"/>
      <c r="VME22" s="101"/>
      <c r="VMF22" s="101"/>
      <c r="VMG22" s="101"/>
      <c r="VMH22" s="101"/>
      <c r="VMI22" s="101"/>
      <c r="VMJ22" s="101"/>
      <c r="VMK22" s="101"/>
      <c r="VML22" s="101"/>
      <c r="VMM22" s="101"/>
      <c r="VMN22" s="101"/>
      <c r="VMO22" s="101"/>
      <c r="VMP22" s="101"/>
      <c r="VMQ22" s="101"/>
      <c r="VMR22" s="101"/>
      <c r="VMS22" s="101"/>
      <c r="VMT22" s="101"/>
      <c r="VMU22" s="101"/>
      <c r="VMV22" s="101"/>
      <c r="VMW22" s="101"/>
      <c r="VMX22" s="101"/>
      <c r="VMY22" s="101"/>
      <c r="VMZ22" s="101"/>
      <c r="VNA22" s="101"/>
      <c r="VNB22" s="101"/>
      <c r="VNC22" s="101"/>
      <c r="VND22" s="101"/>
      <c r="VNE22" s="101"/>
      <c r="VNF22" s="101"/>
      <c r="VNG22" s="101"/>
      <c r="VNH22" s="101"/>
      <c r="VNI22" s="101"/>
      <c r="VNJ22" s="101"/>
      <c r="VNK22" s="101"/>
      <c r="VNL22" s="101"/>
      <c r="VNM22" s="101"/>
      <c r="VNN22" s="101"/>
      <c r="VNO22" s="101"/>
      <c r="VNP22" s="101"/>
      <c r="VNQ22" s="101"/>
      <c r="VNR22" s="101"/>
      <c r="VNS22" s="101"/>
      <c r="VNT22" s="101"/>
      <c r="VNU22" s="101"/>
      <c r="VNV22" s="101"/>
      <c r="VNW22" s="101"/>
      <c r="VNX22" s="101"/>
      <c r="VNY22" s="101"/>
      <c r="VNZ22" s="101"/>
      <c r="VOA22" s="101"/>
      <c r="VOB22" s="101"/>
      <c r="VOC22" s="101"/>
      <c r="VOD22" s="101"/>
      <c r="VOE22" s="101"/>
      <c r="VOF22" s="101"/>
      <c r="VOG22" s="101"/>
      <c r="VOH22" s="101"/>
      <c r="VOI22" s="101"/>
      <c r="VOJ22" s="101"/>
      <c r="VOK22" s="101"/>
      <c r="VOL22" s="101"/>
      <c r="VOM22" s="101"/>
      <c r="VON22" s="101"/>
      <c r="VOO22" s="101"/>
      <c r="VOP22" s="101"/>
      <c r="VOQ22" s="101"/>
      <c r="VOR22" s="101"/>
      <c r="VOS22" s="101"/>
      <c r="VOT22" s="101"/>
      <c r="VOU22" s="101"/>
      <c r="VOV22" s="101"/>
      <c r="VOW22" s="101"/>
      <c r="VOX22" s="101"/>
      <c r="VOY22" s="101"/>
      <c r="VOZ22" s="101"/>
      <c r="VPA22" s="101"/>
      <c r="VPB22" s="101"/>
      <c r="VPC22" s="101"/>
      <c r="VPD22" s="101"/>
      <c r="VPE22" s="101"/>
      <c r="VPF22" s="101"/>
      <c r="VPG22" s="101"/>
      <c r="VPH22" s="101"/>
      <c r="VPI22" s="101"/>
      <c r="VPJ22" s="101"/>
      <c r="VPK22" s="101"/>
      <c r="VPL22" s="101"/>
      <c r="VPM22" s="101"/>
      <c r="VPN22" s="101"/>
      <c r="VPO22" s="101"/>
      <c r="VPP22" s="101"/>
      <c r="VPQ22" s="101"/>
      <c r="VPR22" s="101"/>
      <c r="VPS22" s="101"/>
      <c r="VPT22" s="101"/>
      <c r="VPU22" s="101"/>
      <c r="VPV22" s="101"/>
      <c r="VPW22" s="101"/>
      <c r="VPX22" s="101"/>
      <c r="VPY22" s="101"/>
      <c r="VPZ22" s="101"/>
      <c r="VQA22" s="101"/>
      <c r="VQB22" s="101"/>
      <c r="VQC22" s="101"/>
      <c r="VQD22" s="101"/>
      <c r="VQE22" s="101"/>
      <c r="VQF22" s="101"/>
      <c r="VQG22" s="101"/>
      <c r="VQH22" s="101"/>
      <c r="VQI22" s="101"/>
      <c r="VQJ22" s="101"/>
      <c r="VQK22" s="101"/>
      <c r="VQL22" s="101"/>
      <c r="VQM22" s="101"/>
      <c r="VQN22" s="101"/>
      <c r="VQO22" s="101"/>
      <c r="VQP22" s="101"/>
      <c r="VQQ22" s="101"/>
      <c r="VQR22" s="101"/>
      <c r="VQS22" s="101"/>
      <c r="VQT22" s="101"/>
      <c r="VQU22" s="101"/>
      <c r="VQV22" s="101"/>
      <c r="VQW22" s="101"/>
      <c r="VQX22" s="101"/>
      <c r="VQY22" s="101"/>
      <c r="VQZ22" s="101"/>
      <c r="VRA22" s="101"/>
      <c r="VRB22" s="101"/>
      <c r="VRC22" s="101"/>
      <c r="VRD22" s="101"/>
      <c r="VRE22" s="101"/>
      <c r="VRF22" s="101"/>
      <c r="VRG22" s="101"/>
      <c r="VRH22" s="101"/>
      <c r="VRI22" s="101"/>
      <c r="VRJ22" s="101"/>
      <c r="VRK22" s="101"/>
      <c r="VRL22" s="101"/>
      <c r="VRM22" s="101"/>
      <c r="VRN22" s="101"/>
      <c r="VRO22" s="101"/>
      <c r="VRP22" s="101"/>
      <c r="VRQ22" s="101"/>
      <c r="VRR22" s="101"/>
      <c r="VRS22" s="101"/>
      <c r="VRT22" s="101"/>
      <c r="VRU22" s="101"/>
      <c r="VRV22" s="101"/>
      <c r="VRW22" s="101"/>
      <c r="VRX22" s="101"/>
      <c r="VRY22" s="101"/>
      <c r="VRZ22" s="101"/>
      <c r="VSA22" s="101"/>
      <c r="VSB22" s="101"/>
      <c r="VSC22" s="101"/>
      <c r="VSD22" s="101"/>
      <c r="VSE22" s="101"/>
      <c r="VSF22" s="101"/>
      <c r="VSG22" s="101"/>
      <c r="VSH22" s="101"/>
      <c r="VSI22" s="101"/>
      <c r="VSJ22" s="101"/>
      <c r="VSK22" s="101"/>
      <c r="VSL22" s="101"/>
      <c r="VSM22" s="101"/>
      <c r="VSN22" s="101"/>
      <c r="VSO22" s="101"/>
      <c r="VSP22" s="101"/>
      <c r="VSQ22" s="101"/>
      <c r="VSR22" s="101"/>
      <c r="VSS22" s="101"/>
      <c r="VST22" s="101"/>
      <c r="VSU22" s="101"/>
      <c r="VSV22" s="101"/>
      <c r="VSW22" s="101"/>
      <c r="VSX22" s="101"/>
      <c r="VSY22" s="101"/>
      <c r="VSZ22" s="101"/>
      <c r="VTA22" s="101"/>
      <c r="VTB22" s="101"/>
      <c r="VTC22" s="101"/>
      <c r="VTD22" s="101"/>
      <c r="VTE22" s="101"/>
      <c r="VTF22" s="101"/>
      <c r="VTG22" s="101"/>
      <c r="VTH22" s="101"/>
      <c r="VTI22" s="101"/>
      <c r="VTJ22" s="101"/>
      <c r="VTK22" s="101"/>
      <c r="VTL22" s="101"/>
      <c r="VTM22" s="101"/>
      <c r="VTN22" s="101"/>
      <c r="VTO22" s="101"/>
      <c r="VTP22" s="101"/>
      <c r="VTQ22" s="101"/>
      <c r="VTR22" s="101"/>
      <c r="VTS22" s="101"/>
      <c r="VTT22" s="101"/>
      <c r="VTU22" s="101"/>
      <c r="VTV22" s="101"/>
      <c r="VTW22" s="101"/>
      <c r="VTX22" s="101"/>
      <c r="VTY22" s="101"/>
      <c r="VTZ22" s="101"/>
      <c r="VUA22" s="101"/>
      <c r="VUB22" s="101"/>
      <c r="VUC22" s="101"/>
      <c r="VUD22" s="101"/>
      <c r="VUE22" s="101"/>
      <c r="VUF22" s="101"/>
      <c r="VUG22" s="101"/>
      <c r="VUH22" s="101"/>
      <c r="VUI22" s="101"/>
      <c r="VUJ22" s="101"/>
      <c r="VUK22" s="101"/>
      <c r="VUL22" s="101"/>
      <c r="VUM22" s="101"/>
      <c r="VUN22" s="101"/>
      <c r="VUO22" s="101"/>
      <c r="VUP22" s="101"/>
      <c r="VUQ22" s="101"/>
      <c r="VUR22" s="101"/>
      <c r="VUS22" s="101"/>
      <c r="VUT22" s="101"/>
      <c r="VUU22" s="101"/>
      <c r="VUV22" s="101"/>
      <c r="VUW22" s="101"/>
      <c r="VUX22" s="101"/>
      <c r="VUY22" s="101"/>
      <c r="VUZ22" s="101"/>
      <c r="VVA22" s="101"/>
      <c r="VVB22" s="101"/>
      <c r="VVC22" s="101"/>
      <c r="VVD22" s="101"/>
      <c r="VVE22" s="101"/>
      <c r="VVF22" s="101"/>
      <c r="VVG22" s="101"/>
      <c r="VVH22" s="101"/>
      <c r="VVI22" s="101"/>
      <c r="VVJ22" s="101"/>
      <c r="VVK22" s="101"/>
      <c r="VVL22" s="101"/>
      <c r="VVM22" s="101"/>
      <c r="VVN22" s="101"/>
      <c r="VVO22" s="101"/>
      <c r="VVP22" s="101"/>
      <c r="VVQ22" s="101"/>
      <c r="VVR22" s="101"/>
      <c r="VVS22" s="101"/>
      <c r="VVT22" s="101"/>
      <c r="VVU22" s="101"/>
      <c r="VVV22" s="101"/>
      <c r="VVW22" s="101"/>
      <c r="VVX22" s="101"/>
      <c r="VVY22" s="101"/>
      <c r="VVZ22" s="101"/>
      <c r="VWA22" s="101"/>
      <c r="VWB22" s="101"/>
      <c r="VWC22" s="101"/>
      <c r="VWD22" s="101"/>
      <c r="VWE22" s="101"/>
      <c r="VWF22" s="101"/>
      <c r="VWG22" s="101"/>
      <c r="VWH22" s="101"/>
      <c r="VWI22" s="101"/>
      <c r="VWJ22" s="101"/>
      <c r="VWK22" s="101"/>
      <c r="VWL22" s="101"/>
      <c r="VWM22" s="101"/>
      <c r="VWN22" s="101"/>
      <c r="VWO22" s="101"/>
      <c r="VWP22" s="101"/>
      <c r="VWQ22" s="101"/>
      <c r="VWR22" s="101"/>
      <c r="VWS22" s="101"/>
      <c r="VWT22" s="101"/>
      <c r="VWU22" s="101"/>
      <c r="VWV22" s="101"/>
      <c r="VWW22" s="101"/>
      <c r="VWX22" s="101"/>
      <c r="VWY22" s="101"/>
      <c r="VWZ22" s="101"/>
      <c r="VXA22" s="101"/>
      <c r="VXB22" s="101"/>
      <c r="VXC22" s="101"/>
      <c r="VXD22" s="101"/>
      <c r="VXE22" s="101"/>
      <c r="VXF22" s="101"/>
      <c r="VXG22" s="101"/>
      <c r="VXH22" s="101"/>
      <c r="VXI22" s="101"/>
      <c r="VXJ22" s="101"/>
      <c r="VXK22" s="101"/>
      <c r="VXL22" s="101"/>
      <c r="VXM22" s="101"/>
      <c r="VXN22" s="101"/>
      <c r="VXO22" s="101"/>
      <c r="VXP22" s="101"/>
      <c r="VXQ22" s="101"/>
      <c r="VXR22" s="101"/>
      <c r="VXS22" s="101"/>
      <c r="VXT22" s="101"/>
      <c r="VXU22" s="101"/>
      <c r="VXV22" s="101"/>
      <c r="VXW22" s="101"/>
      <c r="VXX22" s="101"/>
      <c r="VXY22" s="101"/>
      <c r="VXZ22" s="101"/>
      <c r="VYA22" s="101"/>
      <c r="VYB22" s="101"/>
      <c r="VYC22" s="101"/>
      <c r="VYD22" s="101"/>
      <c r="VYE22" s="101"/>
      <c r="VYF22" s="101"/>
      <c r="VYG22" s="101"/>
      <c r="VYH22" s="101"/>
      <c r="VYI22" s="101"/>
      <c r="VYJ22" s="101"/>
      <c r="VYK22" s="101"/>
      <c r="VYL22" s="101"/>
      <c r="VYM22" s="101"/>
      <c r="VYN22" s="101"/>
      <c r="VYO22" s="101"/>
      <c r="VYP22" s="101"/>
      <c r="VYQ22" s="101"/>
      <c r="VYR22" s="101"/>
      <c r="VYS22" s="101"/>
      <c r="VYT22" s="101"/>
      <c r="VYU22" s="101"/>
      <c r="VYV22" s="101"/>
      <c r="VYW22" s="101"/>
      <c r="VYX22" s="101"/>
      <c r="VYY22" s="101"/>
      <c r="VYZ22" s="101"/>
      <c r="VZA22" s="101"/>
      <c r="VZB22" s="101"/>
      <c r="VZC22" s="101"/>
      <c r="VZD22" s="101"/>
      <c r="VZE22" s="101"/>
      <c r="VZF22" s="101"/>
      <c r="VZG22" s="101"/>
      <c r="VZH22" s="101"/>
      <c r="VZI22" s="101"/>
      <c r="VZJ22" s="101"/>
      <c r="VZK22" s="101"/>
      <c r="VZL22" s="101"/>
      <c r="VZM22" s="101"/>
      <c r="VZN22" s="101"/>
      <c r="VZO22" s="101"/>
      <c r="VZP22" s="101"/>
      <c r="VZQ22" s="101"/>
      <c r="VZR22" s="101"/>
      <c r="VZS22" s="101"/>
      <c r="VZT22" s="101"/>
      <c r="VZU22" s="101"/>
      <c r="VZV22" s="101"/>
      <c r="VZW22" s="101"/>
      <c r="VZX22" s="101"/>
      <c r="VZY22" s="101"/>
      <c r="VZZ22" s="101"/>
      <c r="WAA22" s="101"/>
      <c r="WAB22" s="101"/>
      <c r="WAC22" s="101"/>
      <c r="WAD22" s="101"/>
      <c r="WAE22" s="101"/>
      <c r="WAF22" s="101"/>
      <c r="WAG22" s="101"/>
      <c r="WAH22" s="101"/>
      <c r="WAI22" s="101"/>
      <c r="WAJ22" s="101"/>
      <c r="WAK22" s="101"/>
      <c r="WAL22" s="101"/>
      <c r="WAM22" s="101"/>
      <c r="WAN22" s="101"/>
      <c r="WAO22" s="101"/>
      <c r="WAP22" s="101"/>
      <c r="WAQ22" s="101"/>
      <c r="WAR22" s="101"/>
      <c r="WAS22" s="101"/>
      <c r="WAT22" s="101"/>
      <c r="WAU22" s="101"/>
      <c r="WAV22" s="101"/>
      <c r="WAW22" s="101"/>
      <c r="WAX22" s="101"/>
      <c r="WAY22" s="101"/>
      <c r="WAZ22" s="101"/>
      <c r="WBA22" s="101"/>
      <c r="WBB22" s="101"/>
      <c r="WBC22" s="101"/>
      <c r="WBD22" s="101"/>
      <c r="WBE22" s="101"/>
      <c r="WBF22" s="101"/>
      <c r="WBG22" s="101"/>
      <c r="WBH22" s="101"/>
      <c r="WBI22" s="101"/>
      <c r="WBJ22" s="101"/>
      <c r="WBK22" s="101"/>
      <c r="WBL22" s="101"/>
      <c r="WBM22" s="101"/>
      <c r="WBN22" s="101"/>
      <c r="WBO22" s="101"/>
      <c r="WBP22" s="101"/>
      <c r="WBQ22" s="101"/>
      <c r="WBR22" s="101"/>
      <c r="WBS22" s="101"/>
      <c r="WBT22" s="101"/>
      <c r="WBU22" s="101"/>
      <c r="WBV22" s="101"/>
      <c r="WBW22" s="101"/>
      <c r="WBX22" s="101"/>
      <c r="WBY22" s="101"/>
      <c r="WBZ22" s="101"/>
      <c r="WCA22" s="101"/>
      <c r="WCB22" s="101"/>
      <c r="WCC22" s="101"/>
      <c r="WCD22" s="101"/>
      <c r="WCE22" s="101"/>
      <c r="WCF22" s="101"/>
      <c r="WCG22" s="101"/>
      <c r="WCH22" s="101"/>
      <c r="WCI22" s="101"/>
      <c r="WCJ22" s="101"/>
      <c r="WCK22" s="101"/>
      <c r="WCL22" s="101"/>
      <c r="WCM22" s="101"/>
      <c r="WCN22" s="101"/>
      <c r="WCO22" s="101"/>
      <c r="WCP22" s="101"/>
      <c r="WCQ22" s="101"/>
      <c r="WCR22" s="101"/>
      <c r="WCS22" s="101"/>
      <c r="WCT22" s="101"/>
      <c r="WCU22" s="101"/>
      <c r="WCV22" s="101"/>
      <c r="WCW22" s="101"/>
      <c r="WCX22" s="101"/>
      <c r="WCY22" s="101"/>
      <c r="WCZ22" s="101"/>
      <c r="WDA22" s="101"/>
      <c r="WDB22" s="101"/>
      <c r="WDC22" s="101"/>
      <c r="WDD22" s="101"/>
      <c r="WDE22" s="101"/>
      <c r="WDF22" s="101"/>
      <c r="WDG22" s="101"/>
      <c r="WDH22" s="101"/>
      <c r="WDI22" s="101"/>
      <c r="WDJ22" s="101"/>
      <c r="WDK22" s="101"/>
      <c r="WDL22" s="101"/>
      <c r="WDM22" s="101"/>
      <c r="WDN22" s="101"/>
      <c r="WDO22" s="101"/>
      <c r="WDP22" s="101"/>
      <c r="WDQ22" s="101"/>
      <c r="WDR22" s="101"/>
      <c r="WDS22" s="101"/>
      <c r="WDT22" s="101"/>
      <c r="WDU22" s="101"/>
      <c r="WDV22" s="101"/>
      <c r="WDW22" s="101"/>
      <c r="WDX22" s="101"/>
      <c r="WDY22" s="101"/>
      <c r="WDZ22" s="101"/>
      <c r="WEA22" s="101"/>
      <c r="WEB22" s="101"/>
      <c r="WEC22" s="101"/>
      <c r="WED22" s="101"/>
      <c r="WEE22" s="101"/>
      <c r="WEF22" s="101"/>
      <c r="WEG22" s="101"/>
      <c r="WEH22" s="101"/>
      <c r="WEI22" s="101"/>
      <c r="WEJ22" s="101"/>
      <c r="WEK22" s="101"/>
      <c r="WEL22" s="101"/>
      <c r="WEM22" s="101"/>
      <c r="WEN22" s="101"/>
      <c r="WEO22" s="101"/>
      <c r="WEP22" s="101"/>
      <c r="WEQ22" s="101"/>
      <c r="WER22" s="101"/>
      <c r="WES22" s="101"/>
      <c r="WET22" s="101"/>
      <c r="WEU22" s="101"/>
      <c r="WEV22" s="101"/>
      <c r="WEW22" s="101"/>
      <c r="WEX22" s="101"/>
      <c r="WEY22" s="101"/>
      <c r="WEZ22" s="101"/>
      <c r="WFA22" s="101"/>
      <c r="WFB22" s="101"/>
      <c r="WFC22" s="101"/>
      <c r="WFD22" s="101"/>
      <c r="WFE22" s="101"/>
      <c r="WFF22" s="101"/>
      <c r="WFG22" s="101"/>
      <c r="WFH22" s="101"/>
      <c r="WFI22" s="101"/>
      <c r="WFJ22" s="101"/>
      <c r="WFK22" s="101"/>
      <c r="WFL22" s="101"/>
      <c r="WFM22" s="101"/>
      <c r="WFN22" s="101"/>
      <c r="WFO22" s="101"/>
      <c r="WFP22" s="101"/>
      <c r="WFQ22" s="101"/>
      <c r="WFR22" s="101"/>
      <c r="WFS22" s="101"/>
      <c r="WFT22" s="101"/>
      <c r="WFU22" s="101"/>
      <c r="WFV22" s="101"/>
      <c r="WFW22" s="101"/>
      <c r="WFX22" s="101"/>
      <c r="WFY22" s="101"/>
      <c r="WFZ22" s="101"/>
      <c r="WGA22" s="101"/>
      <c r="WGB22" s="101"/>
      <c r="WGC22" s="101"/>
      <c r="WGD22" s="101"/>
      <c r="WGE22" s="101"/>
      <c r="WGF22" s="101"/>
      <c r="WGG22" s="101"/>
      <c r="WGH22" s="101"/>
      <c r="WGI22" s="101"/>
      <c r="WGJ22" s="101"/>
      <c r="WGK22" s="101"/>
      <c r="WGL22" s="101"/>
      <c r="WGM22" s="101"/>
      <c r="WGN22" s="101"/>
      <c r="WGO22" s="101"/>
      <c r="WGP22" s="101"/>
      <c r="WGQ22" s="101"/>
      <c r="WGR22" s="101"/>
      <c r="WGS22" s="101"/>
      <c r="WGT22" s="101"/>
      <c r="WGU22" s="101"/>
      <c r="WGV22" s="101"/>
      <c r="WGW22" s="101"/>
      <c r="WGX22" s="101"/>
      <c r="WGY22" s="101"/>
      <c r="WGZ22" s="101"/>
      <c r="WHA22" s="101"/>
      <c r="WHB22" s="101"/>
      <c r="WHC22" s="101"/>
      <c r="WHD22" s="101"/>
      <c r="WHE22" s="101"/>
      <c r="WHF22" s="101"/>
      <c r="WHG22" s="101"/>
      <c r="WHH22" s="101"/>
      <c r="WHI22" s="101"/>
      <c r="WHJ22" s="101"/>
      <c r="WHK22" s="101"/>
      <c r="WHL22" s="101"/>
      <c r="WHM22" s="101"/>
      <c r="WHN22" s="101"/>
      <c r="WHO22" s="101"/>
      <c r="WHP22" s="101"/>
      <c r="WHQ22" s="101"/>
      <c r="WHR22" s="101"/>
      <c r="WHS22" s="101"/>
      <c r="WHT22" s="101"/>
      <c r="WHU22" s="101"/>
      <c r="WHV22" s="101"/>
      <c r="WHW22" s="101"/>
      <c r="WHX22" s="101"/>
      <c r="WHY22" s="101"/>
      <c r="WHZ22" s="101"/>
      <c r="WIA22" s="101"/>
      <c r="WIB22" s="101"/>
      <c r="WIC22" s="101"/>
      <c r="WID22" s="101"/>
      <c r="WIE22" s="101"/>
      <c r="WIF22" s="101"/>
      <c r="WIG22" s="101"/>
      <c r="WIH22" s="101"/>
      <c r="WII22" s="101"/>
      <c r="WIJ22" s="101"/>
      <c r="WIK22" s="101"/>
      <c r="WIL22" s="101"/>
      <c r="WIM22" s="101"/>
      <c r="WIN22" s="101"/>
      <c r="WIO22" s="101"/>
      <c r="WIP22" s="101"/>
      <c r="WIQ22" s="101"/>
      <c r="WIR22" s="101"/>
      <c r="WIS22" s="101"/>
      <c r="WIT22" s="101"/>
      <c r="WIU22" s="101"/>
      <c r="WIV22" s="101"/>
      <c r="WIW22" s="101"/>
      <c r="WIX22" s="101"/>
      <c r="WIY22" s="101"/>
      <c r="WIZ22" s="101"/>
      <c r="WJA22" s="101"/>
      <c r="WJB22" s="101"/>
      <c r="WJC22" s="101"/>
      <c r="WJD22" s="101"/>
      <c r="WJE22" s="101"/>
      <c r="WJF22" s="101"/>
      <c r="WJG22" s="101"/>
      <c r="WJH22" s="101"/>
      <c r="WJI22" s="101"/>
      <c r="WJJ22" s="101"/>
      <c r="WJK22" s="101"/>
      <c r="WJL22" s="101"/>
      <c r="WJM22" s="101"/>
      <c r="WJN22" s="101"/>
      <c r="WJO22" s="101"/>
      <c r="WJP22" s="101"/>
      <c r="WJQ22" s="101"/>
      <c r="WJR22" s="101"/>
      <c r="WJS22" s="101"/>
      <c r="WJT22" s="101"/>
      <c r="WJU22" s="101"/>
      <c r="WJV22" s="101"/>
      <c r="WJW22" s="101"/>
      <c r="WJX22" s="101"/>
      <c r="WJY22" s="101"/>
      <c r="WJZ22" s="101"/>
      <c r="WKA22" s="101"/>
      <c r="WKB22" s="101"/>
      <c r="WKC22" s="101"/>
      <c r="WKD22" s="101"/>
      <c r="WKE22" s="101"/>
      <c r="WKF22" s="101"/>
      <c r="WKG22" s="101"/>
      <c r="WKH22" s="101"/>
      <c r="WKI22" s="101"/>
      <c r="WKJ22" s="101"/>
      <c r="WKK22" s="101"/>
      <c r="WKL22" s="101"/>
      <c r="WKM22" s="101"/>
      <c r="WKN22" s="101"/>
      <c r="WKO22" s="101"/>
      <c r="WKP22" s="101"/>
      <c r="WKQ22" s="101"/>
      <c r="WKR22" s="101"/>
      <c r="WKS22" s="101"/>
      <c r="WKT22" s="101"/>
      <c r="WKU22" s="101"/>
      <c r="WKV22" s="101"/>
      <c r="WKW22" s="101"/>
      <c r="WKX22" s="101"/>
      <c r="WKY22" s="101"/>
      <c r="WKZ22" s="101"/>
      <c r="WLA22" s="101"/>
      <c r="WLB22" s="101"/>
      <c r="WLC22" s="101"/>
      <c r="WLD22" s="101"/>
      <c r="WLE22" s="101"/>
      <c r="WLF22" s="101"/>
      <c r="WLG22" s="101"/>
      <c r="WLH22" s="101"/>
      <c r="WLI22" s="101"/>
      <c r="WLJ22" s="101"/>
      <c r="WLK22" s="101"/>
      <c r="WLL22" s="101"/>
      <c r="WLM22" s="101"/>
      <c r="WLN22" s="101"/>
      <c r="WLO22" s="101"/>
      <c r="WLP22" s="101"/>
      <c r="WLQ22" s="101"/>
      <c r="WLR22" s="101"/>
      <c r="WLS22" s="101"/>
      <c r="WLT22" s="101"/>
      <c r="WLU22" s="101"/>
      <c r="WLV22" s="101"/>
      <c r="WLW22" s="101"/>
      <c r="WLX22" s="101"/>
      <c r="WLY22" s="101"/>
      <c r="WLZ22" s="101"/>
      <c r="WMA22" s="101"/>
      <c r="WMB22" s="101"/>
      <c r="WMC22" s="101"/>
      <c r="WMD22" s="101"/>
      <c r="WME22" s="101"/>
      <c r="WMF22" s="101"/>
      <c r="WMG22" s="101"/>
      <c r="WMH22" s="101"/>
      <c r="WMI22" s="101"/>
      <c r="WMJ22" s="101"/>
      <c r="WMK22" s="101"/>
      <c r="WML22" s="101"/>
      <c r="WMM22" s="101"/>
      <c r="WMN22" s="101"/>
      <c r="WMO22" s="101"/>
      <c r="WMP22" s="101"/>
      <c r="WMQ22" s="101"/>
      <c r="WMR22" s="101"/>
      <c r="WMS22" s="101"/>
      <c r="WMT22" s="101"/>
      <c r="WMU22" s="101"/>
      <c r="WMV22" s="101"/>
      <c r="WMW22" s="101"/>
      <c r="WMX22" s="101"/>
      <c r="WMY22" s="101"/>
      <c r="WMZ22" s="101"/>
      <c r="WNA22" s="101"/>
      <c r="WNB22" s="101"/>
      <c r="WNC22" s="101"/>
      <c r="WND22" s="101"/>
      <c r="WNE22" s="101"/>
      <c r="WNF22" s="101"/>
      <c r="WNG22" s="101"/>
      <c r="WNH22" s="101"/>
      <c r="WNI22" s="101"/>
      <c r="WNJ22" s="101"/>
      <c r="WNK22" s="101"/>
      <c r="WNL22" s="101"/>
      <c r="WNM22" s="101"/>
      <c r="WNN22" s="101"/>
      <c r="WNO22" s="101"/>
      <c r="WNP22" s="101"/>
      <c r="WNQ22" s="101"/>
      <c r="WNR22" s="101"/>
      <c r="WNS22" s="101"/>
      <c r="WNT22" s="101"/>
      <c r="WNU22" s="101"/>
      <c r="WNV22" s="101"/>
      <c r="WNW22" s="101"/>
      <c r="WNX22" s="101"/>
      <c r="WNY22" s="101"/>
      <c r="WNZ22" s="101"/>
      <c r="WOA22" s="101"/>
      <c r="WOB22" s="101"/>
      <c r="WOC22" s="101"/>
      <c r="WOD22" s="101"/>
      <c r="WOE22" s="101"/>
      <c r="WOF22" s="101"/>
      <c r="WOG22" s="101"/>
      <c r="WOH22" s="101"/>
      <c r="WOI22" s="101"/>
      <c r="WOJ22" s="101"/>
      <c r="WOK22" s="101"/>
      <c r="WOL22" s="101"/>
      <c r="WOM22" s="101"/>
      <c r="WON22" s="101"/>
      <c r="WOO22" s="101"/>
      <c r="WOP22" s="101"/>
      <c r="WOQ22" s="101"/>
      <c r="WOR22" s="101"/>
      <c r="WOS22" s="101"/>
      <c r="WOT22" s="101"/>
      <c r="WOU22" s="101"/>
      <c r="WOV22" s="101"/>
      <c r="WOW22" s="101"/>
      <c r="WOX22" s="101"/>
      <c r="WOY22" s="101"/>
      <c r="WOZ22" s="101"/>
      <c r="WPA22" s="101"/>
      <c r="WPB22" s="101"/>
      <c r="WPC22" s="101"/>
      <c r="WPD22" s="101"/>
      <c r="WPE22" s="101"/>
      <c r="WPF22" s="101"/>
      <c r="WPG22" s="101"/>
      <c r="WPH22" s="101"/>
      <c r="WPI22" s="101"/>
      <c r="WPJ22" s="101"/>
      <c r="WPK22" s="101"/>
      <c r="WPL22" s="101"/>
      <c r="WPM22" s="101"/>
      <c r="WPN22" s="101"/>
      <c r="WPO22" s="101"/>
      <c r="WPP22" s="101"/>
      <c r="WPQ22" s="101"/>
      <c r="WPR22" s="101"/>
      <c r="WPS22" s="101"/>
      <c r="WPT22" s="101"/>
      <c r="WPU22" s="101"/>
      <c r="WPV22" s="101"/>
      <c r="WPW22" s="101"/>
      <c r="WPX22" s="101"/>
      <c r="WPY22" s="101"/>
      <c r="WPZ22" s="101"/>
      <c r="WQA22" s="101"/>
      <c r="WQB22" s="101"/>
      <c r="WQC22" s="101"/>
      <c r="WQD22" s="101"/>
      <c r="WQE22" s="101"/>
      <c r="WQF22" s="101"/>
      <c r="WQG22" s="101"/>
      <c r="WQH22" s="101"/>
      <c r="WQI22" s="101"/>
      <c r="WQJ22" s="101"/>
      <c r="WQK22" s="101"/>
      <c r="WQL22" s="101"/>
      <c r="WQM22" s="101"/>
      <c r="WQN22" s="101"/>
      <c r="WQO22" s="101"/>
      <c r="WQP22" s="101"/>
      <c r="WQQ22" s="101"/>
      <c r="WQR22" s="101"/>
      <c r="WQS22" s="101"/>
      <c r="WQT22" s="101"/>
      <c r="WQU22" s="101"/>
      <c r="WQV22" s="101"/>
      <c r="WQW22" s="101"/>
      <c r="WQX22" s="101"/>
      <c r="WQY22" s="101"/>
      <c r="WQZ22" s="101"/>
      <c r="WRA22" s="101"/>
      <c r="WRB22" s="101"/>
      <c r="WRC22" s="101"/>
      <c r="WRD22" s="101"/>
      <c r="WRE22" s="101"/>
      <c r="WRF22" s="101"/>
      <c r="WRG22" s="101"/>
      <c r="WRH22" s="101"/>
      <c r="WRI22" s="101"/>
      <c r="WRJ22" s="101"/>
      <c r="WRK22" s="101"/>
      <c r="WRL22" s="101"/>
      <c r="WRM22" s="101"/>
      <c r="WRN22" s="101"/>
      <c r="WRO22" s="101"/>
      <c r="WRP22" s="101"/>
      <c r="WRQ22" s="101"/>
      <c r="WRR22" s="101"/>
      <c r="WRS22" s="101"/>
      <c r="WRT22" s="101"/>
      <c r="WRU22" s="101"/>
      <c r="WRV22" s="101"/>
      <c r="WRW22" s="101"/>
      <c r="WRX22" s="101"/>
      <c r="WRY22" s="101"/>
      <c r="WRZ22" s="101"/>
      <c r="WSA22" s="101"/>
      <c r="WSB22" s="101"/>
      <c r="WSC22" s="101"/>
      <c r="WSD22" s="101"/>
      <c r="WSE22" s="101"/>
      <c r="WSF22" s="101"/>
      <c r="WSG22" s="101"/>
      <c r="WSH22" s="101"/>
      <c r="WSI22" s="101"/>
      <c r="WSJ22" s="101"/>
      <c r="WSK22" s="101"/>
      <c r="WSL22" s="101"/>
      <c r="WSM22" s="101"/>
      <c r="WSN22" s="101"/>
      <c r="WSO22" s="101"/>
      <c r="WSP22" s="101"/>
      <c r="WSQ22" s="101"/>
      <c r="WSR22" s="101"/>
      <c r="WSS22" s="101"/>
      <c r="WST22" s="101"/>
      <c r="WSU22" s="101"/>
      <c r="WSV22" s="101"/>
      <c r="WSW22" s="101"/>
      <c r="WSX22" s="101"/>
      <c r="WSY22" s="101"/>
      <c r="WSZ22" s="101"/>
      <c r="WTA22" s="101"/>
      <c r="WTB22" s="101"/>
      <c r="WTC22" s="101"/>
      <c r="WTD22" s="101"/>
      <c r="WTE22" s="101"/>
      <c r="WTF22" s="101"/>
      <c r="WTG22" s="101"/>
      <c r="WTH22" s="101"/>
      <c r="WTI22" s="101"/>
      <c r="WTJ22" s="101"/>
      <c r="WTK22" s="101"/>
      <c r="WTL22" s="101"/>
      <c r="WTM22" s="101"/>
      <c r="WTN22" s="101"/>
      <c r="WTO22" s="101"/>
      <c r="WTP22" s="101"/>
      <c r="WTQ22" s="101"/>
      <c r="WTR22" s="101"/>
      <c r="WTS22" s="101"/>
      <c r="WTT22" s="101"/>
      <c r="WTU22" s="101"/>
      <c r="WTV22" s="101"/>
      <c r="WTW22" s="101"/>
      <c r="WTX22" s="101"/>
      <c r="WTY22" s="101"/>
      <c r="WTZ22" s="101"/>
      <c r="WUA22" s="101"/>
      <c r="WUB22" s="101"/>
      <c r="WUC22" s="101"/>
      <c r="WUD22" s="101"/>
      <c r="WUE22" s="101"/>
      <c r="WUF22" s="101"/>
      <c r="WUG22" s="101"/>
      <c r="WUH22" s="101"/>
      <c r="WUI22" s="101"/>
      <c r="WUJ22" s="101"/>
      <c r="WUK22" s="101"/>
      <c r="WUL22" s="101"/>
      <c r="WUM22" s="101"/>
      <c r="WUN22" s="101"/>
      <c r="WUO22" s="101"/>
      <c r="WUP22" s="101"/>
      <c r="WUQ22" s="101"/>
      <c r="WUR22" s="101"/>
      <c r="WUS22" s="101"/>
      <c r="WUT22" s="101"/>
      <c r="WUU22" s="101"/>
      <c r="WUV22" s="101"/>
      <c r="WUW22" s="101"/>
      <c r="WUX22" s="101"/>
      <c r="WUY22" s="101"/>
      <c r="WUZ22" s="101"/>
      <c r="WVA22" s="101"/>
      <c r="WVB22" s="101"/>
      <c r="WVC22" s="101"/>
      <c r="WVD22" s="101"/>
      <c r="WVE22" s="101"/>
      <c r="WVF22" s="101"/>
      <c r="WVG22" s="101"/>
      <c r="WVH22" s="101"/>
      <c r="WVI22" s="101"/>
      <c r="WVJ22" s="101"/>
      <c r="WVK22" s="101"/>
      <c r="WVL22" s="101"/>
      <c r="WVM22" s="101"/>
      <c r="WVN22" s="101"/>
      <c r="WVO22" s="101"/>
      <c r="WVP22" s="101"/>
      <c r="WVQ22" s="101"/>
      <c r="WVR22" s="101"/>
      <c r="WVS22" s="101"/>
      <c r="WVT22" s="101"/>
      <c r="WVU22" s="101"/>
      <c r="WVV22" s="101"/>
      <c r="WVW22" s="101"/>
      <c r="WVX22" s="101"/>
      <c r="WVY22" s="101"/>
      <c r="WVZ22" s="101"/>
      <c r="WWA22" s="101"/>
      <c r="WWB22" s="101"/>
      <c r="WWC22" s="101"/>
      <c r="WWD22" s="101"/>
      <c r="WWE22" s="101"/>
      <c r="WWF22" s="101"/>
      <c r="WWG22" s="101"/>
      <c r="WWH22" s="101"/>
      <c r="WWI22" s="101"/>
      <c r="WWJ22" s="101"/>
      <c r="WWK22" s="101"/>
      <c r="WWL22" s="101"/>
      <c r="WWM22" s="101"/>
      <c r="WWN22" s="101"/>
      <c r="WWO22" s="101"/>
      <c r="WWP22" s="101"/>
      <c r="WWQ22" s="101"/>
      <c r="WWR22" s="101"/>
      <c r="WWS22" s="101"/>
      <c r="WWT22" s="101"/>
      <c r="WWU22" s="101"/>
      <c r="WWV22" s="101"/>
      <c r="WWW22" s="101"/>
      <c r="WWX22" s="101"/>
      <c r="WWY22" s="101"/>
      <c r="WWZ22" s="101"/>
      <c r="WXA22" s="101"/>
      <c r="WXB22" s="101"/>
      <c r="WXC22" s="101"/>
      <c r="WXD22" s="101"/>
      <c r="WXE22" s="101"/>
      <c r="WXF22" s="101"/>
      <c r="WXG22" s="101"/>
      <c r="WXH22" s="101"/>
      <c r="WXI22" s="101"/>
      <c r="WXJ22" s="101"/>
      <c r="WXK22" s="101"/>
      <c r="WXL22" s="101"/>
      <c r="WXM22" s="101"/>
      <c r="WXN22" s="101"/>
      <c r="WXO22" s="101"/>
      <c r="WXP22" s="101"/>
      <c r="WXQ22" s="101"/>
      <c r="WXR22" s="101"/>
      <c r="WXS22" s="101"/>
      <c r="WXT22" s="101"/>
      <c r="WXU22" s="101"/>
      <c r="WXV22" s="101"/>
      <c r="WXW22" s="101"/>
      <c r="WXX22" s="101"/>
      <c r="WXY22" s="101"/>
      <c r="WXZ22" s="101"/>
      <c r="WYA22" s="101"/>
      <c r="WYB22" s="101"/>
      <c r="WYC22" s="101"/>
      <c r="WYD22" s="101"/>
      <c r="WYE22" s="101"/>
      <c r="WYF22" s="101"/>
      <c r="WYG22" s="101"/>
      <c r="WYH22" s="101"/>
      <c r="WYI22" s="101"/>
      <c r="WYJ22" s="101"/>
      <c r="WYK22" s="101"/>
      <c r="WYL22" s="101"/>
      <c r="WYM22" s="101"/>
      <c r="WYN22" s="101"/>
      <c r="WYO22" s="101"/>
      <c r="WYP22" s="101"/>
      <c r="WYQ22" s="101"/>
      <c r="WYR22" s="101"/>
      <c r="WYS22" s="101"/>
      <c r="WYT22" s="101"/>
      <c r="WYU22" s="101"/>
      <c r="WYV22" s="101"/>
      <c r="WYW22" s="101"/>
      <c r="WYX22" s="101"/>
      <c r="WYY22" s="101"/>
      <c r="WYZ22" s="101"/>
      <c r="WZA22" s="101"/>
      <c r="WZB22" s="101"/>
      <c r="WZC22" s="101"/>
      <c r="WZD22" s="101"/>
      <c r="WZE22" s="101"/>
      <c r="WZF22" s="101"/>
      <c r="WZG22" s="101"/>
      <c r="WZH22" s="101"/>
      <c r="WZI22" s="101"/>
      <c r="WZJ22" s="101"/>
      <c r="WZK22" s="101"/>
      <c r="WZL22" s="101"/>
      <c r="WZM22" s="101"/>
      <c r="WZN22" s="101"/>
      <c r="WZO22" s="101"/>
      <c r="WZP22" s="101"/>
      <c r="WZQ22" s="101"/>
      <c r="WZR22" s="101"/>
      <c r="WZS22" s="101"/>
      <c r="WZT22" s="101"/>
      <c r="WZU22" s="101"/>
      <c r="WZV22" s="101"/>
      <c r="WZW22" s="101"/>
      <c r="WZX22" s="101"/>
      <c r="WZY22" s="101"/>
      <c r="WZZ22" s="101"/>
      <c r="XAA22" s="101"/>
      <c r="XAB22" s="101"/>
      <c r="XAC22" s="101"/>
      <c r="XAD22" s="101"/>
      <c r="XAE22" s="101"/>
      <c r="XAF22" s="101"/>
      <c r="XAG22" s="101"/>
      <c r="XAH22" s="101"/>
      <c r="XAI22" s="101"/>
      <c r="XAJ22" s="101"/>
      <c r="XAK22" s="101"/>
      <c r="XAL22" s="101"/>
      <c r="XAM22" s="101"/>
      <c r="XAN22" s="101"/>
      <c r="XAO22" s="101"/>
      <c r="XAP22" s="101"/>
      <c r="XAQ22" s="101"/>
      <c r="XAR22" s="101"/>
      <c r="XAS22" s="101"/>
      <c r="XAT22" s="101"/>
      <c r="XAU22" s="101"/>
      <c r="XAV22" s="101"/>
      <c r="XAW22" s="101"/>
      <c r="XAX22" s="101"/>
      <c r="XAY22" s="101"/>
      <c r="XAZ22" s="101"/>
      <c r="XBA22" s="101"/>
      <c r="XBB22" s="101"/>
      <c r="XBC22" s="101"/>
      <c r="XBD22" s="101"/>
      <c r="XBE22" s="101"/>
      <c r="XBF22" s="101"/>
      <c r="XBG22" s="101"/>
      <c r="XBH22" s="101"/>
      <c r="XBI22" s="101"/>
      <c r="XBJ22" s="101"/>
      <c r="XBK22" s="101"/>
      <c r="XBL22" s="101"/>
      <c r="XBM22" s="101"/>
      <c r="XBN22" s="101"/>
      <c r="XBO22" s="101"/>
      <c r="XBP22" s="101"/>
      <c r="XBQ22" s="101"/>
      <c r="XBR22" s="101"/>
      <c r="XBS22" s="101"/>
      <c r="XBT22" s="101"/>
      <c r="XBU22" s="101"/>
      <c r="XBV22" s="101"/>
      <c r="XBW22" s="101"/>
      <c r="XBX22" s="101"/>
      <c r="XBY22" s="101"/>
      <c r="XBZ22" s="101"/>
      <c r="XCA22" s="101"/>
      <c r="XCB22" s="101"/>
      <c r="XCC22" s="101"/>
      <c r="XCD22" s="101"/>
      <c r="XCE22" s="101"/>
      <c r="XCF22" s="101"/>
      <c r="XCG22" s="101"/>
      <c r="XCH22" s="101"/>
      <c r="XCI22" s="101"/>
      <c r="XCJ22" s="101"/>
      <c r="XCK22" s="101"/>
      <c r="XCL22" s="101"/>
      <c r="XCM22" s="101"/>
      <c r="XCN22" s="101"/>
      <c r="XCO22" s="101"/>
      <c r="XCP22" s="101"/>
      <c r="XCQ22" s="101"/>
      <c r="XCR22" s="101"/>
      <c r="XCS22" s="101"/>
      <c r="XCT22" s="101"/>
      <c r="XCU22" s="101"/>
      <c r="XCV22" s="101"/>
      <c r="XCW22" s="101"/>
      <c r="XCX22" s="101"/>
      <c r="XCY22" s="101"/>
      <c r="XCZ22" s="101"/>
      <c r="XDA22" s="101"/>
      <c r="XDB22" s="101"/>
      <c r="XDC22" s="101"/>
      <c r="XDD22" s="101"/>
      <c r="XDE22" s="101"/>
      <c r="XDF22" s="101"/>
      <c r="XDG22" s="101"/>
      <c r="XDH22" s="101"/>
      <c r="XDI22" s="101"/>
      <c r="XDJ22" s="101"/>
      <c r="XDK22" s="101"/>
      <c r="XDL22" s="101"/>
      <c r="XDM22" s="101"/>
      <c r="XDN22" s="101"/>
      <c r="XDO22" s="101"/>
      <c r="XDP22" s="101"/>
      <c r="XDQ22" s="101"/>
      <c r="XDR22" s="101"/>
      <c r="XDS22" s="101"/>
      <c r="XDT22" s="101"/>
    </row>
    <row r="23" spans="1:16348" ht="15" thickBot="1" x14ac:dyDescent="0.35">
      <c r="A23" s="11"/>
      <c r="B23" s="66" t="s">
        <v>57</v>
      </c>
      <c r="C23" s="67"/>
      <c r="D23" s="74"/>
      <c r="E23" s="74"/>
      <c r="F23" s="74"/>
      <c r="G23" s="74"/>
      <c r="H23" s="74"/>
      <c r="I23" s="34"/>
      <c r="J23" s="12"/>
      <c r="K23" s="150" t="s">
        <v>157</v>
      </c>
      <c r="L23" s="67"/>
      <c r="M23" s="169"/>
      <c r="N23" s="12"/>
      <c r="O23" s="30"/>
      <c r="P23" s="72" t="s">
        <v>66</v>
      </c>
      <c r="Q23" s="92">
        <f>AggTreatmentP1[[#Totals],[Unknown (Unk)]]</f>
        <v>0</v>
      </c>
      <c r="R23" s="32"/>
      <c r="S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row>
    <row r="24" spans="1:16348" x14ac:dyDescent="0.3">
      <c r="A24" s="11"/>
      <c r="B24" s="30"/>
      <c r="C24" s="55" t="s">
        <v>49</v>
      </c>
      <c r="D24" s="75">
        <f>AggPresumptiveP1[[#Totals],[HIV Positive]]</f>
        <v>0</v>
      </c>
      <c r="E24" s="75">
        <f>AggPresumptiveP2[[#Totals],[HIV Positive]]</f>
        <v>0</v>
      </c>
      <c r="F24" s="75">
        <f>AggPresumptiveP3[[#Totals],[HIV Positive]]</f>
        <v>0</v>
      </c>
      <c r="G24" s="79">
        <f>AggPresumptiveP4[[#Totals],[HIV Positive]]</f>
        <v>0</v>
      </c>
      <c r="H24" s="79">
        <f>AggPresumptiveP5[[#Totals],[HIV Positive]]</f>
        <v>0</v>
      </c>
      <c r="I24" s="35">
        <f>SUM(D24:H24)</f>
        <v>0</v>
      </c>
      <c r="J24" s="12"/>
      <c r="K24" s="30"/>
      <c r="L24" s="55" t="s">
        <v>130</v>
      </c>
      <c r="M24" s="89">
        <f>AggLabP1[[#Totals],[LAM Positive]]</f>
        <v>0</v>
      </c>
      <c r="N24" s="12"/>
      <c r="O24" s="150" t="s">
        <v>68</v>
      </c>
      <c r="P24" s="151"/>
      <c r="Q24" s="94"/>
      <c r="S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row>
    <row r="25" spans="1:16348" ht="15" thickBot="1" x14ac:dyDescent="0.35">
      <c r="A25" s="11"/>
      <c r="B25" s="30"/>
      <c r="C25" s="55" t="s">
        <v>50</v>
      </c>
      <c r="D25" s="75">
        <f>AggPresumptiveP1[[#Totals],[HIV Negative]]</f>
        <v>0</v>
      </c>
      <c r="E25" s="75">
        <f>AggPresumptiveP2[[#Totals],[HIV Negative]]</f>
        <v>0</v>
      </c>
      <c r="F25" s="75">
        <f>AggPresumptiveP3[[#Totals],[HIV Negative]]</f>
        <v>0</v>
      </c>
      <c r="G25" s="79">
        <f>AggPresumptiveP4[[#Totals],[HIV Negative]]</f>
        <v>0</v>
      </c>
      <c r="H25" s="79">
        <f>AggPresumptiveP5[[#Totals],[HIV Negative]]</f>
        <v>0</v>
      </c>
      <c r="I25" s="35">
        <f>SUM(D25:H25)</f>
        <v>0</v>
      </c>
      <c r="J25" s="12"/>
      <c r="K25" s="30"/>
      <c r="L25" s="55" t="s">
        <v>131</v>
      </c>
      <c r="M25" s="89">
        <f>AggLabP1[[#Totals],[LAM Negative]]</f>
        <v>0</v>
      </c>
      <c r="N25" s="12"/>
      <c r="O25" s="31"/>
      <c r="P25" s="73" t="s">
        <v>20</v>
      </c>
      <c r="Q25" s="96">
        <f>AggTreatmentP1[[#Totals],[Enrolled in ART]]</f>
        <v>0</v>
      </c>
      <c r="S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row>
    <row r="26" spans="1:16348" ht="15" thickBot="1" x14ac:dyDescent="0.35">
      <c r="A26" s="11"/>
      <c r="B26" s="66" t="s">
        <v>58</v>
      </c>
      <c r="C26" s="67"/>
      <c r="D26" s="74"/>
      <c r="E26" s="74"/>
      <c r="F26" s="74"/>
      <c r="G26" s="74"/>
      <c r="H26" s="74"/>
      <c r="I26" s="34"/>
      <c r="J26" s="12"/>
      <c r="K26" s="82"/>
      <c r="L26" s="58" t="s">
        <v>154</v>
      </c>
      <c r="M26" s="170">
        <f>AggLabP1[[#Totals],[LAM Invalid]]</f>
        <v>0</v>
      </c>
      <c r="N26" s="12"/>
      <c r="S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row>
    <row r="27" spans="1:16348" ht="16.2" customHeight="1" thickBot="1" x14ac:dyDescent="0.35">
      <c r="A27" s="11"/>
      <c r="B27" s="31"/>
      <c r="C27" s="58" t="s">
        <v>56</v>
      </c>
      <c r="D27" s="77">
        <f>AggPresumptiveP1[[#Totals],[Not Tested]]</f>
        <v>0</v>
      </c>
      <c r="E27" s="77">
        <f>AggPresumptiveP2[[#Totals],[Not Tested]]</f>
        <v>0</v>
      </c>
      <c r="F27" s="77">
        <f>AggPresumptiveP3[[#Totals],[Not Tested]]</f>
        <v>0</v>
      </c>
      <c r="G27" s="77">
        <f>AggPresumptiveP4[[#Totals],[Not Tested]]</f>
        <v>0</v>
      </c>
      <c r="H27" s="77">
        <f>AggPresumptiveP5[[#Totals],[Not Tested]]</f>
        <v>0</v>
      </c>
      <c r="I27" s="36">
        <f>SUM(D27:H27)</f>
        <v>0</v>
      </c>
      <c r="J27" s="12"/>
      <c r="N27" s="12"/>
      <c r="S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row>
    <row r="28" spans="1:16348" ht="15" customHeight="1" x14ac:dyDescent="0.3">
      <c r="A28" s="11"/>
      <c r="J28" s="12"/>
      <c r="K28"/>
      <c r="L28"/>
      <c r="M28"/>
      <c r="N28" s="12"/>
      <c r="S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row>
    <row r="29" spans="1:16348" x14ac:dyDescent="0.3">
      <c r="A29" s="11"/>
      <c r="B29"/>
      <c r="C29"/>
      <c r="D29"/>
      <c r="E29"/>
      <c r="F29"/>
      <c r="G29"/>
      <c r="H29"/>
      <c r="I29"/>
      <c r="J29" s="12"/>
      <c r="K29"/>
      <c r="L29"/>
      <c r="M29"/>
      <c r="N29" s="1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row>
    <row r="30" spans="1:16348" x14ac:dyDescent="0.3">
      <c r="A30" s="11"/>
      <c r="B30"/>
      <c r="C30"/>
      <c r="D30"/>
      <c r="E30"/>
      <c r="F30"/>
      <c r="G30"/>
      <c r="H30"/>
      <c r="I30"/>
      <c r="J30" s="12"/>
      <c r="K30"/>
      <c r="L30"/>
      <c r="M30"/>
      <c r="N30" s="12"/>
    </row>
    <row r="31" spans="1:16348" ht="15.6" x14ac:dyDescent="0.3">
      <c r="A31" s="11"/>
      <c r="B31"/>
      <c r="C31"/>
      <c r="D31"/>
      <c r="E31"/>
      <c r="F31"/>
      <c r="G31"/>
      <c r="H31"/>
      <c r="I31"/>
      <c r="J31" s="12"/>
      <c r="K31" s="83"/>
      <c r="L31" s="83"/>
      <c r="M31" s="12"/>
      <c r="N31" s="12"/>
    </row>
    <row r="32" spans="1:16348" x14ac:dyDescent="0.3">
      <c r="A32" s="11"/>
      <c r="B32"/>
      <c r="C32"/>
      <c r="D32"/>
      <c r="E32"/>
      <c r="F32"/>
      <c r="G32"/>
      <c r="H32"/>
      <c r="I32"/>
      <c r="N32" s="12"/>
    </row>
    <row r="33" spans="1:17" x14ac:dyDescent="0.3">
      <c r="A33" s="11"/>
      <c r="N33" s="12"/>
    </row>
    <row r="34" spans="1:17" x14ac:dyDescent="0.3">
      <c r="A34" s="11"/>
      <c r="N34" s="12"/>
    </row>
    <row r="35" spans="1:17" x14ac:dyDescent="0.3">
      <c r="A35" s="11"/>
      <c r="N35" s="12"/>
    </row>
    <row r="36" spans="1:17" x14ac:dyDescent="0.3">
      <c r="A36" s="11"/>
      <c r="N36" s="12"/>
    </row>
    <row r="37" spans="1:17" ht="19.5" customHeight="1" x14ac:dyDescent="0.3">
      <c r="A37" s="13"/>
      <c r="N37" s="12"/>
    </row>
    <row r="38" spans="1:17" x14ac:dyDescent="0.3">
      <c r="A38" s="13"/>
      <c r="N38" s="12"/>
    </row>
    <row r="39" spans="1:17" x14ac:dyDescent="0.3">
      <c r="A39" s="13"/>
      <c r="N39" s="12"/>
    </row>
    <row r="40" spans="1:17" x14ac:dyDescent="0.3">
      <c r="A40" s="13"/>
      <c r="N40" s="12"/>
    </row>
    <row r="41" spans="1:17" x14ac:dyDescent="0.3">
      <c r="A41" s="13"/>
      <c r="N41" s="12"/>
    </row>
    <row r="42" spans="1:17" x14ac:dyDescent="0.3">
      <c r="A42" s="13"/>
      <c r="N42" s="12"/>
    </row>
    <row r="43" spans="1:17" x14ac:dyDescent="0.3">
      <c r="A43" s="13"/>
      <c r="N43" s="12"/>
      <c r="Q43" s="6"/>
    </row>
    <row r="44" spans="1:17" x14ac:dyDescent="0.3">
      <c r="A44" s="13"/>
      <c r="N44" s="12"/>
      <c r="Q44" s="6"/>
    </row>
    <row r="45" spans="1:17" ht="15" customHeight="1" x14ac:dyDescent="0.3">
      <c r="A45" s="13"/>
      <c r="N45" s="12"/>
      <c r="Q45" s="6"/>
    </row>
    <row r="46" spans="1:17" x14ac:dyDescent="0.3">
      <c r="A46" s="11"/>
      <c r="N46" s="12"/>
      <c r="Q46" s="6"/>
    </row>
    <row r="47" spans="1:17" x14ac:dyDescent="0.3">
      <c r="A47" s="11"/>
      <c r="N47" s="12"/>
    </row>
    <row r="48" spans="1:17" x14ac:dyDescent="0.3">
      <c r="A48" s="11"/>
      <c r="N48" s="12"/>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sheetData>
  <sheetProtection selectLockedCells="1"/>
  <mergeCells count="11">
    <mergeCell ref="O4:P4"/>
    <mergeCell ref="B4:C4"/>
    <mergeCell ref="K3:M3"/>
    <mergeCell ref="K4:L4"/>
    <mergeCell ref="O1:Q1"/>
    <mergeCell ref="K1:M1"/>
    <mergeCell ref="S3:T3"/>
    <mergeCell ref="B1:I1"/>
    <mergeCell ref="B3:I3"/>
    <mergeCell ref="O3:Q3"/>
    <mergeCell ref="S1:T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C00000"/>
  </sheetPr>
  <dimension ref="A1:AD192"/>
  <sheetViews>
    <sheetView showGridLines="0" topLeftCell="A155" zoomScale="60" zoomScaleNormal="60" workbookViewId="0">
      <selection activeCell="P185" sqref="P185"/>
    </sheetView>
  </sheetViews>
  <sheetFormatPr defaultColWidth="8.88671875" defaultRowHeight="14.4" x14ac:dyDescent="0.3"/>
  <cols>
    <col min="1" max="1" width="4.109375" style="49" customWidth="1"/>
    <col min="2" max="2" width="15.88671875" style="130" customWidth="1"/>
    <col min="3" max="20" width="15.88671875" style="49" customWidth="1"/>
    <col min="21" max="21" width="21.44140625" style="49" customWidth="1"/>
    <col min="22" max="22" width="9.33203125" style="49" customWidth="1"/>
    <col min="23" max="16384" width="8.88671875" style="49"/>
  </cols>
  <sheetData>
    <row r="1" spans="1:30" s="183" customFormat="1" ht="23.4" x14ac:dyDescent="0.3">
      <c r="A1" s="178" t="s">
        <v>151</v>
      </c>
      <c r="B1" s="178"/>
      <c r="C1" s="179"/>
      <c r="D1" s="180"/>
      <c r="E1" s="180"/>
      <c r="F1" s="181"/>
      <c r="G1" s="180"/>
      <c r="H1" s="182"/>
      <c r="I1" s="179"/>
      <c r="J1" s="179"/>
      <c r="K1" s="179"/>
      <c r="L1" s="179"/>
      <c r="M1" s="179"/>
      <c r="N1" s="179"/>
      <c r="O1" s="179"/>
      <c r="P1" s="179"/>
      <c r="Q1" s="179"/>
      <c r="R1" s="179"/>
      <c r="S1" s="179"/>
      <c r="T1" s="179"/>
      <c r="U1" s="179"/>
      <c r="V1" s="177"/>
    </row>
    <row r="2" spans="1:30" s="189" customFormat="1" ht="24" thickBot="1" x14ac:dyDescent="0.35">
      <c r="A2" s="184"/>
      <c r="B2" s="184"/>
      <c r="C2" s="185"/>
      <c r="D2" s="186"/>
      <c r="E2" s="186"/>
      <c r="F2" s="187"/>
      <c r="G2" s="186"/>
      <c r="H2" s="188"/>
      <c r="I2" s="185"/>
      <c r="J2" s="185"/>
      <c r="K2" s="185"/>
      <c r="L2" s="185"/>
      <c r="M2" s="185"/>
      <c r="N2" s="185"/>
      <c r="O2" s="185"/>
      <c r="P2" s="185"/>
      <c r="Q2" s="185"/>
      <c r="R2" s="185"/>
      <c r="S2" s="185"/>
      <c r="T2" s="185"/>
      <c r="U2" s="185"/>
      <c r="V2" s="164"/>
      <c r="W2" s="164"/>
    </row>
    <row r="3" spans="1:30" s="20" customFormat="1" x14ac:dyDescent="0.3">
      <c r="B3" s="772" t="s">
        <v>189</v>
      </c>
      <c r="C3" s="773"/>
      <c r="D3" s="773"/>
      <c r="E3" s="773"/>
      <c r="F3" s="773"/>
      <c r="G3" s="773"/>
      <c r="H3" s="773"/>
      <c r="I3" s="773"/>
      <c r="J3" s="773"/>
      <c r="K3" s="773"/>
      <c r="L3" s="773"/>
      <c r="M3" s="773"/>
      <c r="N3" s="773"/>
      <c r="O3" s="773"/>
      <c r="P3" s="774"/>
      <c r="Q3" s="190"/>
      <c r="R3" s="190"/>
      <c r="S3" s="190"/>
      <c r="T3" s="190"/>
      <c r="U3" s="190"/>
      <c r="V3" s="156"/>
      <c r="W3" s="156"/>
      <c r="X3" s="156"/>
    </row>
    <row r="4" spans="1:30" s="20" customFormat="1" ht="14.55" customHeight="1" x14ac:dyDescent="0.3">
      <c r="B4" s="775" t="s">
        <v>149</v>
      </c>
      <c r="C4" s="776"/>
      <c r="D4" s="776"/>
      <c r="E4" s="776"/>
      <c r="F4" s="776"/>
      <c r="G4" s="776"/>
      <c r="H4" s="776"/>
      <c r="I4" s="776"/>
      <c r="J4" s="776"/>
      <c r="K4" s="776"/>
      <c r="L4" s="776"/>
      <c r="M4" s="776"/>
      <c r="N4" s="776"/>
      <c r="O4" s="776"/>
      <c r="P4" s="777"/>
      <c r="Q4" s="190"/>
      <c r="R4" s="190"/>
      <c r="S4" s="190"/>
      <c r="T4" s="190"/>
      <c r="U4" s="190"/>
      <c r="V4" s="156"/>
      <c r="W4" s="156"/>
      <c r="X4" s="156"/>
    </row>
    <row r="5" spans="1:30" s="20" customFormat="1" x14ac:dyDescent="0.3">
      <c r="B5" s="775" t="s">
        <v>148</v>
      </c>
      <c r="C5" s="776"/>
      <c r="D5" s="776"/>
      <c r="E5" s="776"/>
      <c r="F5" s="776"/>
      <c r="G5" s="776"/>
      <c r="H5" s="776"/>
      <c r="I5" s="776"/>
      <c r="J5" s="776"/>
      <c r="K5" s="776"/>
      <c r="L5" s="776"/>
      <c r="M5" s="776"/>
      <c r="N5" s="776"/>
      <c r="O5" s="776"/>
      <c r="P5" s="777"/>
      <c r="Q5" s="190"/>
      <c r="R5" s="190"/>
      <c r="S5" s="190"/>
      <c r="T5" s="190"/>
      <c r="U5" s="190"/>
      <c r="V5" s="156"/>
      <c r="W5" s="156"/>
      <c r="X5" s="156"/>
    </row>
    <row r="6" spans="1:30" customFormat="1" x14ac:dyDescent="0.3">
      <c r="A6" s="49"/>
      <c r="B6" s="778" t="s">
        <v>147</v>
      </c>
      <c r="C6" s="779"/>
      <c r="D6" s="779"/>
      <c r="E6" s="779"/>
      <c r="F6" s="779"/>
      <c r="G6" s="779"/>
      <c r="H6" s="779"/>
      <c r="I6" s="779"/>
      <c r="J6" s="779"/>
      <c r="K6" s="779"/>
      <c r="L6" s="779"/>
      <c r="M6" s="779"/>
      <c r="N6" s="779"/>
      <c r="O6" s="779"/>
      <c r="P6" s="780"/>
      <c r="Q6" s="191"/>
      <c r="R6" s="190"/>
      <c r="S6" s="190"/>
      <c r="T6" s="190"/>
      <c r="U6" s="190"/>
      <c r="V6" s="163"/>
      <c r="W6" s="163"/>
      <c r="X6" s="163"/>
    </row>
    <row r="7" spans="1:30" customFormat="1" x14ac:dyDescent="0.3">
      <c r="A7" s="49"/>
      <c r="B7" s="781" t="s">
        <v>162</v>
      </c>
      <c r="C7" s="782"/>
      <c r="D7" s="782"/>
      <c r="E7" s="782"/>
      <c r="F7" s="782"/>
      <c r="G7" s="782"/>
      <c r="H7" s="782"/>
      <c r="I7" s="782"/>
      <c r="J7" s="782"/>
      <c r="K7" s="782"/>
      <c r="L7" s="782"/>
      <c r="M7" s="782"/>
      <c r="N7" s="782"/>
      <c r="O7" s="782"/>
      <c r="P7" s="783"/>
      <c r="Q7" s="191"/>
      <c r="R7" s="190"/>
      <c r="S7" s="190"/>
      <c r="T7" s="190"/>
      <c r="U7" s="190"/>
      <c r="V7" s="163"/>
      <c r="W7" s="163"/>
      <c r="X7" s="163"/>
    </row>
    <row r="8" spans="1:30" customFormat="1" ht="15" thickBot="1" x14ac:dyDescent="0.35">
      <c r="A8" s="49"/>
      <c r="B8" s="754" t="s">
        <v>163</v>
      </c>
      <c r="C8" s="755"/>
      <c r="D8" s="755"/>
      <c r="E8" s="755"/>
      <c r="F8" s="755"/>
      <c r="G8" s="755"/>
      <c r="H8" s="755"/>
      <c r="I8" s="755"/>
      <c r="J8" s="755"/>
      <c r="K8" s="755"/>
      <c r="L8" s="755"/>
      <c r="M8" s="755"/>
      <c r="N8" s="755"/>
      <c r="O8" s="755"/>
      <c r="P8" s="756"/>
      <c r="Q8" s="191"/>
      <c r="R8" s="190"/>
      <c r="S8" s="190"/>
      <c r="T8" s="190"/>
      <c r="U8" s="190"/>
      <c r="V8" s="163"/>
      <c r="W8" s="163"/>
      <c r="X8" s="163"/>
    </row>
    <row r="9" spans="1:30" s="120" customFormat="1" x14ac:dyDescent="0.3">
      <c r="A9" s="159"/>
      <c r="B9" s="159"/>
      <c r="C9" s="160"/>
      <c r="D9" s="155"/>
      <c r="E9" s="155"/>
      <c r="F9" s="158"/>
      <c r="G9" s="157"/>
      <c r="H9" s="161"/>
      <c r="I9" s="160"/>
      <c r="J9" s="160"/>
      <c r="K9" s="160"/>
      <c r="L9" s="160"/>
      <c r="M9" s="160"/>
      <c r="N9" s="160"/>
      <c r="O9" s="160"/>
      <c r="P9" s="160"/>
      <c r="Q9" s="160"/>
      <c r="R9" s="160"/>
      <c r="S9" s="160"/>
      <c r="T9" s="160"/>
      <c r="U9" s="160"/>
      <c r="V9" s="160"/>
    </row>
    <row r="10" spans="1:30" s="121" customFormat="1" ht="22.2" customHeight="1" x14ac:dyDescent="0.3">
      <c r="A10"/>
      <c r="B10" s="770" t="str">
        <f>IF('1. ASSESSMENT PROFILE'!D38&lt;&gt;"", '1. ASSESSMENT PROFILE'!D38,"")</f>
        <v/>
      </c>
      <c r="C10" s="770"/>
      <c r="D10" s="770"/>
      <c r="E10" s="770"/>
      <c r="F10" s="770"/>
      <c r="G10" s="770"/>
      <c r="H10" s="770"/>
      <c r="I10" s="770"/>
      <c r="J10" s="770"/>
      <c r="K10" s="770"/>
      <c r="L10" s="770"/>
      <c r="M10" s="770"/>
      <c r="N10" s="770"/>
      <c r="O10" s="770"/>
      <c r="P10" s="770"/>
      <c r="Q10" s="770"/>
      <c r="R10" s="770"/>
      <c r="S10" s="770"/>
      <c r="T10" s="770"/>
      <c r="U10"/>
      <c r="V10"/>
      <c r="W10"/>
    </row>
    <row r="11" spans="1:30" s="124" customFormat="1" ht="28.8" x14ac:dyDescent="0.3">
      <c r="A11"/>
      <c r="B11" s="122"/>
      <c r="C11" s="139"/>
      <c r="D11" s="757" t="s">
        <v>14</v>
      </c>
      <c r="E11" s="758"/>
      <c r="F11" s="757" t="s">
        <v>89</v>
      </c>
      <c r="G11" s="758"/>
      <c r="H11" s="757" t="s">
        <v>57</v>
      </c>
      <c r="I11" s="758"/>
      <c r="J11" s="144" t="s">
        <v>58</v>
      </c>
      <c r="K11" s="757" t="s">
        <v>123</v>
      </c>
      <c r="L11" s="768"/>
      <c r="M11" s="757" t="s">
        <v>224</v>
      </c>
      <c r="N11" s="768"/>
      <c r="O11" s="768"/>
      <c r="P11" s="768"/>
      <c r="Q11" s="758"/>
      <c r="R11" s="757" t="s">
        <v>129</v>
      </c>
      <c r="S11" s="768"/>
      <c r="T11" s="758"/>
      <c r="U11"/>
      <c r="V11"/>
      <c r="W11"/>
      <c r="X11"/>
      <c r="Y11"/>
      <c r="Z11"/>
      <c r="AA11"/>
      <c r="AB11"/>
      <c r="AC11"/>
      <c r="AD11"/>
    </row>
    <row r="12" spans="1:30" s="126" customFormat="1" ht="117" customHeight="1" x14ac:dyDescent="0.3">
      <c r="A12"/>
      <c r="B12" s="138" t="s">
        <v>59</v>
      </c>
      <c r="C12" s="144" t="s">
        <v>111</v>
      </c>
      <c r="D12" s="144" t="s">
        <v>53</v>
      </c>
      <c r="E12" s="144" t="s">
        <v>54</v>
      </c>
      <c r="F12" s="144" t="s">
        <v>90</v>
      </c>
      <c r="G12" s="403" t="s">
        <v>246</v>
      </c>
      <c r="H12" s="144" t="s">
        <v>133</v>
      </c>
      <c r="I12" s="144" t="s">
        <v>134</v>
      </c>
      <c r="J12" s="144" t="s">
        <v>56</v>
      </c>
      <c r="K12" s="144" t="s">
        <v>6</v>
      </c>
      <c r="L12" s="144" t="s">
        <v>5</v>
      </c>
      <c r="M12" s="141" t="s">
        <v>122</v>
      </c>
      <c r="N12" s="141" t="s">
        <v>124</v>
      </c>
      <c r="O12" s="141" t="s">
        <v>125</v>
      </c>
      <c r="P12" s="141" t="s">
        <v>126</v>
      </c>
      <c r="Q12" s="141" t="s">
        <v>391</v>
      </c>
      <c r="R12" s="141" t="s">
        <v>130</v>
      </c>
      <c r="S12" s="141" t="s">
        <v>131</v>
      </c>
      <c r="T12" s="141" t="s">
        <v>132</v>
      </c>
      <c r="U12"/>
      <c r="V12"/>
      <c r="W12"/>
      <c r="X12"/>
      <c r="Y12"/>
      <c r="Z12"/>
      <c r="AA12"/>
      <c r="AB12"/>
      <c r="AC12"/>
    </row>
    <row r="13" spans="1:30" x14ac:dyDescent="0.3">
      <c r="A13"/>
      <c r="B13" s="127">
        <v>1</v>
      </c>
      <c r="C13" s="367"/>
      <c r="D13" s="128"/>
      <c r="E13" s="129"/>
      <c r="F13" s="128"/>
      <c r="G13" s="128"/>
      <c r="H13" s="128"/>
      <c r="I13" s="128"/>
      <c r="J13" s="128"/>
      <c r="K13" s="128"/>
      <c r="L13" s="128"/>
      <c r="M13" s="128"/>
      <c r="N13" s="128"/>
      <c r="O13" s="128"/>
      <c r="P13" s="128"/>
      <c r="Q13" s="128"/>
      <c r="R13" s="128"/>
      <c r="S13" s="128"/>
      <c r="T13" s="128"/>
      <c r="U13" s="129"/>
      <c r="V13"/>
      <c r="W13"/>
      <c r="X13"/>
      <c r="Y13"/>
      <c r="Z13"/>
      <c r="AA13"/>
      <c r="AB13"/>
      <c r="AC13"/>
    </row>
    <row r="14" spans="1:30" x14ac:dyDescent="0.3">
      <c r="A14"/>
      <c r="B14" s="127">
        <v>2</v>
      </c>
      <c r="C14" s="128"/>
      <c r="D14" s="128"/>
      <c r="E14" s="128"/>
      <c r="F14" s="128"/>
      <c r="G14" s="128"/>
      <c r="H14" s="128"/>
      <c r="I14" s="128"/>
      <c r="J14" s="128"/>
      <c r="K14" s="128"/>
      <c r="L14" s="128"/>
      <c r="M14" s="128"/>
      <c r="N14" s="128"/>
      <c r="O14" s="128"/>
      <c r="P14" s="128"/>
      <c r="Q14" s="128"/>
      <c r="R14" s="128"/>
      <c r="S14" s="128"/>
      <c r="T14" s="128"/>
      <c r="U14" s="129"/>
      <c r="V14"/>
      <c r="W14"/>
      <c r="X14"/>
      <c r="Y14"/>
      <c r="Z14"/>
      <c r="AA14"/>
      <c r="AB14"/>
      <c r="AC14"/>
    </row>
    <row r="15" spans="1:30" x14ac:dyDescent="0.3">
      <c r="A15"/>
      <c r="B15" s="127">
        <v>3</v>
      </c>
      <c r="C15" s="128"/>
      <c r="D15" s="128"/>
      <c r="E15" s="128"/>
      <c r="F15" s="128"/>
      <c r="G15" s="128"/>
      <c r="H15" s="128"/>
      <c r="I15" s="128"/>
      <c r="J15" s="128"/>
      <c r="K15" s="128"/>
      <c r="L15" s="128"/>
      <c r="M15" s="128"/>
      <c r="N15" s="128"/>
      <c r="O15" s="128"/>
      <c r="P15" s="128"/>
      <c r="Q15" s="128"/>
      <c r="R15" s="128"/>
      <c r="S15" s="128"/>
      <c r="T15" s="128"/>
      <c r="U15" s="129"/>
      <c r="V15"/>
      <c r="W15"/>
      <c r="X15"/>
      <c r="Y15"/>
      <c r="Z15"/>
      <c r="AA15"/>
      <c r="AB15"/>
      <c r="AC15"/>
    </row>
    <row r="16" spans="1:30" x14ac:dyDescent="0.3">
      <c r="A16"/>
      <c r="B16" s="127">
        <v>4</v>
      </c>
      <c r="C16" s="128"/>
      <c r="D16" s="128"/>
      <c r="E16" s="128"/>
      <c r="F16" s="128"/>
      <c r="G16" s="128"/>
      <c r="H16" s="128"/>
      <c r="I16" s="128"/>
      <c r="J16" s="128"/>
      <c r="K16" s="128"/>
      <c r="L16" s="128"/>
      <c r="M16" s="128"/>
      <c r="N16" s="128"/>
      <c r="O16" s="128"/>
      <c r="P16" s="128"/>
      <c r="Q16" s="128"/>
      <c r="R16" s="128"/>
      <c r="S16" s="128"/>
      <c r="T16" s="128"/>
      <c r="U16" s="129"/>
      <c r="V16"/>
      <c r="W16"/>
      <c r="X16"/>
      <c r="Y16"/>
      <c r="Z16"/>
      <c r="AA16"/>
      <c r="AB16"/>
      <c r="AC16"/>
    </row>
    <row r="17" spans="1:29" x14ac:dyDescent="0.3">
      <c r="A17"/>
      <c r="B17" s="127">
        <v>5</v>
      </c>
      <c r="C17" s="128"/>
      <c r="D17" s="128"/>
      <c r="E17" s="128"/>
      <c r="F17" s="128"/>
      <c r="G17" s="128"/>
      <c r="H17" s="128"/>
      <c r="I17" s="128"/>
      <c r="J17" s="128"/>
      <c r="K17" s="128"/>
      <c r="L17" s="128"/>
      <c r="M17" s="128"/>
      <c r="N17" s="128"/>
      <c r="O17" s="128"/>
      <c r="P17" s="128"/>
      <c r="Q17" s="128"/>
      <c r="R17" s="128"/>
      <c r="S17" s="128"/>
      <c r="T17" s="128"/>
      <c r="U17" s="129"/>
      <c r="V17"/>
      <c r="W17"/>
      <c r="X17"/>
      <c r="Y17"/>
      <c r="Z17"/>
      <c r="AA17"/>
      <c r="AB17"/>
      <c r="AC17"/>
    </row>
    <row r="18" spans="1:29" x14ac:dyDescent="0.3">
      <c r="A18"/>
      <c r="B18" s="127">
        <v>6</v>
      </c>
      <c r="C18" s="128"/>
      <c r="D18" s="128"/>
      <c r="E18" s="128"/>
      <c r="F18" s="128"/>
      <c r="G18" s="128"/>
      <c r="H18" s="128"/>
      <c r="I18" s="128"/>
      <c r="J18" s="128"/>
      <c r="K18" s="128"/>
      <c r="L18" s="128"/>
      <c r="M18" s="128"/>
      <c r="N18" s="128"/>
      <c r="O18" s="128"/>
      <c r="P18" s="128"/>
      <c r="Q18" s="128"/>
      <c r="R18" s="128"/>
      <c r="S18" s="128"/>
      <c r="T18" s="128"/>
      <c r="U18" s="129"/>
      <c r="V18"/>
      <c r="W18"/>
      <c r="X18"/>
      <c r="Y18"/>
      <c r="Z18"/>
      <c r="AA18"/>
      <c r="AB18"/>
      <c r="AC18"/>
    </row>
    <row r="19" spans="1:29" x14ac:dyDescent="0.3">
      <c r="A19"/>
      <c r="B19" s="127">
        <v>7</v>
      </c>
      <c r="C19" s="128"/>
      <c r="D19" s="128"/>
      <c r="E19" s="128"/>
      <c r="F19" s="128"/>
      <c r="G19" s="128"/>
      <c r="H19" s="128"/>
      <c r="I19" s="128"/>
      <c r="J19" s="128"/>
      <c r="K19" s="128"/>
      <c r="L19" s="128"/>
      <c r="M19" s="128"/>
      <c r="N19" s="128"/>
      <c r="O19" s="128"/>
      <c r="P19" s="128"/>
      <c r="Q19" s="128"/>
      <c r="R19" s="128"/>
      <c r="S19" s="128"/>
      <c r="T19" s="128"/>
      <c r="U19" s="129"/>
      <c r="V19"/>
      <c r="W19"/>
      <c r="X19"/>
      <c r="Y19"/>
      <c r="Z19"/>
      <c r="AA19"/>
      <c r="AB19"/>
      <c r="AC19"/>
    </row>
    <row r="20" spans="1:29" x14ac:dyDescent="0.3">
      <c r="A20"/>
      <c r="B20" s="127">
        <v>8</v>
      </c>
      <c r="C20" s="128"/>
      <c r="D20" s="128"/>
      <c r="E20" s="128"/>
      <c r="F20" s="128"/>
      <c r="G20" s="128"/>
      <c r="H20" s="128"/>
      <c r="I20" s="128"/>
      <c r="J20" s="128"/>
      <c r="K20" s="128"/>
      <c r="L20" s="128"/>
      <c r="M20" s="128"/>
      <c r="N20" s="128"/>
      <c r="O20" s="128"/>
      <c r="P20" s="128"/>
      <c r="Q20" s="128"/>
      <c r="R20" s="128"/>
      <c r="S20" s="128"/>
      <c r="T20" s="128"/>
      <c r="U20" s="129"/>
      <c r="V20"/>
      <c r="W20"/>
      <c r="X20"/>
      <c r="Y20"/>
      <c r="Z20"/>
      <c r="AA20"/>
      <c r="AB20"/>
      <c r="AC20"/>
    </row>
    <row r="21" spans="1:29" x14ac:dyDescent="0.3">
      <c r="A21"/>
      <c r="B21" s="127">
        <v>9</v>
      </c>
      <c r="C21" s="128"/>
      <c r="D21" s="128"/>
      <c r="E21" s="128"/>
      <c r="F21" s="128"/>
      <c r="G21" s="128"/>
      <c r="H21" s="128"/>
      <c r="I21" s="128"/>
      <c r="J21" s="128"/>
      <c r="K21" s="128"/>
      <c r="L21" s="128"/>
      <c r="M21" s="128"/>
      <c r="N21" s="128"/>
      <c r="O21" s="128"/>
      <c r="P21" s="128"/>
      <c r="Q21" s="128"/>
      <c r="R21" s="128"/>
      <c r="S21" s="128"/>
      <c r="T21" s="128"/>
      <c r="U21" s="129"/>
      <c r="V21"/>
      <c r="W21"/>
      <c r="X21"/>
      <c r="Y21"/>
      <c r="Z21"/>
      <c r="AA21"/>
      <c r="AB21"/>
      <c r="AC21"/>
    </row>
    <row r="22" spans="1:29" x14ac:dyDescent="0.3">
      <c r="A22"/>
      <c r="B22" s="127">
        <v>10</v>
      </c>
      <c r="C22" s="128"/>
      <c r="D22" s="128"/>
      <c r="E22" s="128"/>
      <c r="F22" s="128"/>
      <c r="G22" s="128"/>
      <c r="H22" s="128"/>
      <c r="I22" s="128"/>
      <c r="J22" s="128"/>
      <c r="K22" s="128"/>
      <c r="L22" s="128"/>
      <c r="M22" s="128"/>
      <c r="N22" s="128"/>
      <c r="O22" s="128"/>
      <c r="P22" s="128"/>
      <c r="Q22" s="128"/>
      <c r="R22" s="128"/>
      <c r="S22" s="128"/>
      <c r="T22" s="128"/>
      <c r="U22" s="129"/>
      <c r="V22"/>
      <c r="W22"/>
      <c r="X22"/>
      <c r="Y22"/>
      <c r="Z22"/>
      <c r="AA22"/>
      <c r="AB22"/>
      <c r="AC22"/>
    </row>
    <row r="23" spans="1:29" x14ac:dyDescent="0.3">
      <c r="A23"/>
      <c r="B23" s="127">
        <v>11</v>
      </c>
      <c r="C23" s="128"/>
      <c r="D23" s="128"/>
      <c r="E23" s="128"/>
      <c r="F23" s="128"/>
      <c r="G23" s="128"/>
      <c r="H23" s="128"/>
      <c r="I23" s="128"/>
      <c r="J23" s="128"/>
      <c r="K23" s="128"/>
      <c r="L23" s="128"/>
      <c r="M23" s="128"/>
      <c r="N23" s="128"/>
      <c r="O23" s="128"/>
      <c r="P23" s="128"/>
      <c r="Q23" s="128"/>
      <c r="R23" s="128"/>
      <c r="S23" s="128"/>
      <c r="T23" s="128"/>
      <c r="U23" s="129"/>
      <c r="V23"/>
      <c r="W23"/>
      <c r="X23"/>
      <c r="Y23"/>
      <c r="Z23"/>
      <c r="AA23"/>
      <c r="AB23"/>
      <c r="AC23"/>
    </row>
    <row r="24" spans="1:29" x14ac:dyDescent="0.3">
      <c r="A24"/>
      <c r="B24" s="127">
        <v>12</v>
      </c>
      <c r="C24" s="128"/>
      <c r="D24" s="128"/>
      <c r="E24" s="128"/>
      <c r="F24" s="128"/>
      <c r="G24" s="128"/>
      <c r="H24" s="128"/>
      <c r="I24" s="128"/>
      <c r="J24" s="128"/>
      <c r="K24" s="128"/>
      <c r="L24" s="128"/>
      <c r="M24" s="128"/>
      <c r="N24" s="128"/>
      <c r="O24" s="128"/>
      <c r="P24" s="128"/>
      <c r="Q24" s="128"/>
      <c r="R24" s="128"/>
      <c r="S24" s="128"/>
      <c r="T24" s="128"/>
      <c r="U24" s="129"/>
      <c r="V24"/>
      <c r="W24"/>
      <c r="X24"/>
      <c r="Y24"/>
      <c r="Z24"/>
      <c r="AA24"/>
      <c r="AB24"/>
      <c r="AC24"/>
    </row>
    <row r="25" spans="1:29" x14ac:dyDescent="0.3">
      <c r="A25"/>
      <c r="B25" s="127">
        <v>13</v>
      </c>
      <c r="C25" s="128"/>
      <c r="D25" s="128"/>
      <c r="E25" s="128"/>
      <c r="F25" s="128"/>
      <c r="G25" s="128"/>
      <c r="H25" s="128"/>
      <c r="I25" s="128"/>
      <c r="J25" s="128"/>
      <c r="K25" s="128"/>
      <c r="L25" s="128"/>
      <c r="M25" s="128"/>
      <c r="N25" s="128"/>
      <c r="O25" s="128"/>
      <c r="P25" s="128"/>
      <c r="Q25" s="128"/>
      <c r="R25" s="128"/>
      <c r="S25" s="128"/>
      <c r="T25" s="128"/>
      <c r="U25" s="129"/>
      <c r="V25"/>
      <c r="W25"/>
      <c r="X25"/>
      <c r="Y25"/>
      <c r="Z25"/>
      <c r="AA25"/>
      <c r="AB25"/>
      <c r="AC25"/>
    </row>
    <row r="26" spans="1:29" x14ac:dyDescent="0.3">
      <c r="A26"/>
      <c r="B26" s="127">
        <v>14</v>
      </c>
      <c r="C26" s="128"/>
      <c r="D26" s="128"/>
      <c r="E26" s="128"/>
      <c r="F26" s="128"/>
      <c r="G26" s="128"/>
      <c r="H26" s="128"/>
      <c r="I26" s="128"/>
      <c r="J26" s="128"/>
      <c r="K26" s="128"/>
      <c r="L26" s="128"/>
      <c r="M26" s="128"/>
      <c r="N26" s="128"/>
      <c r="O26" s="128"/>
      <c r="P26" s="128"/>
      <c r="Q26" s="128"/>
      <c r="R26" s="128"/>
      <c r="S26" s="128"/>
      <c r="T26" s="128"/>
      <c r="U26" s="129"/>
      <c r="V26"/>
      <c r="W26"/>
      <c r="X26"/>
      <c r="Y26"/>
      <c r="Z26"/>
      <c r="AA26"/>
      <c r="AB26"/>
      <c r="AC26"/>
    </row>
    <row r="27" spans="1:29" x14ac:dyDescent="0.3">
      <c r="A27"/>
      <c r="B27" s="127">
        <v>15</v>
      </c>
      <c r="C27" s="128"/>
      <c r="D27" s="128"/>
      <c r="E27" s="128"/>
      <c r="F27" s="128"/>
      <c r="G27" s="128"/>
      <c r="H27" s="128"/>
      <c r="I27" s="128"/>
      <c r="J27" s="128"/>
      <c r="K27" s="128"/>
      <c r="L27" s="128"/>
      <c r="M27" s="128"/>
      <c r="N27" s="128"/>
      <c r="O27" s="128"/>
      <c r="P27" s="128"/>
      <c r="Q27" s="128"/>
      <c r="R27" s="128"/>
      <c r="S27" s="128"/>
      <c r="T27" s="128"/>
      <c r="U27" s="129"/>
      <c r="V27"/>
      <c r="W27"/>
      <c r="X27"/>
      <c r="Y27"/>
      <c r="Z27"/>
      <c r="AA27"/>
      <c r="AB27"/>
      <c r="AC27"/>
    </row>
    <row r="28" spans="1:29" x14ac:dyDescent="0.3">
      <c r="A28"/>
      <c r="B28" s="127">
        <v>16</v>
      </c>
      <c r="C28" s="128"/>
      <c r="D28" s="128"/>
      <c r="E28" s="128"/>
      <c r="F28" s="128"/>
      <c r="G28" s="128"/>
      <c r="H28" s="128"/>
      <c r="I28" s="128"/>
      <c r="J28" s="128"/>
      <c r="K28" s="128"/>
      <c r="L28" s="128"/>
      <c r="M28" s="128"/>
      <c r="N28" s="128"/>
      <c r="O28" s="128"/>
      <c r="P28" s="128"/>
      <c r="Q28" s="128"/>
      <c r="R28" s="128"/>
      <c r="S28" s="128"/>
      <c r="T28" s="128"/>
      <c r="U28" s="129"/>
      <c r="V28"/>
      <c r="W28"/>
      <c r="X28"/>
      <c r="Y28"/>
      <c r="Z28"/>
      <c r="AA28"/>
      <c r="AB28"/>
      <c r="AC28"/>
    </row>
    <row r="29" spans="1:29" x14ac:dyDescent="0.3">
      <c r="A29"/>
      <c r="B29" s="127">
        <v>17</v>
      </c>
      <c r="C29" s="128"/>
      <c r="D29" s="128"/>
      <c r="E29" s="128"/>
      <c r="F29" s="128"/>
      <c r="G29" s="128"/>
      <c r="H29" s="128"/>
      <c r="I29" s="128"/>
      <c r="J29" s="128"/>
      <c r="K29" s="128"/>
      <c r="L29" s="128"/>
      <c r="M29" s="128"/>
      <c r="N29" s="128"/>
      <c r="O29" s="128"/>
      <c r="P29" s="128"/>
      <c r="Q29" s="128"/>
      <c r="R29" s="128"/>
      <c r="S29" s="128"/>
      <c r="T29" s="128"/>
      <c r="U29" s="129"/>
      <c r="V29"/>
      <c r="W29"/>
      <c r="X29"/>
      <c r="Y29"/>
      <c r="Z29"/>
      <c r="AA29"/>
      <c r="AB29"/>
      <c r="AC29"/>
    </row>
    <row r="30" spans="1:29" x14ac:dyDescent="0.3">
      <c r="A30"/>
      <c r="B30" s="127">
        <v>18</v>
      </c>
      <c r="C30" s="128"/>
      <c r="D30" s="128"/>
      <c r="E30" s="128"/>
      <c r="F30" s="128"/>
      <c r="G30" s="128"/>
      <c r="H30" s="128"/>
      <c r="I30" s="128"/>
      <c r="J30" s="128"/>
      <c r="K30" s="128"/>
      <c r="L30" s="128"/>
      <c r="M30" s="128"/>
      <c r="N30" s="128"/>
      <c r="O30" s="128"/>
      <c r="P30" s="128"/>
      <c r="Q30" s="128"/>
      <c r="R30" s="128"/>
      <c r="S30" s="128"/>
      <c r="T30" s="128"/>
      <c r="U30" s="129"/>
      <c r="V30"/>
      <c r="W30"/>
      <c r="X30"/>
      <c r="Y30"/>
      <c r="Z30"/>
      <c r="AA30"/>
      <c r="AB30"/>
      <c r="AC30"/>
    </row>
    <row r="31" spans="1:29" x14ac:dyDescent="0.3">
      <c r="A31"/>
      <c r="B31" s="127">
        <v>19</v>
      </c>
      <c r="C31" s="128"/>
      <c r="D31" s="128"/>
      <c r="E31" s="128"/>
      <c r="F31" s="128"/>
      <c r="G31" s="128"/>
      <c r="H31" s="128"/>
      <c r="I31" s="128"/>
      <c r="J31" s="128"/>
      <c r="K31" s="128"/>
      <c r="L31" s="128"/>
      <c r="M31" s="128"/>
      <c r="N31" s="128"/>
      <c r="O31" s="128"/>
      <c r="P31" s="128"/>
      <c r="Q31" s="128"/>
      <c r="R31" s="128"/>
      <c r="S31" s="128"/>
      <c r="T31" s="128"/>
      <c r="U31" s="129"/>
      <c r="V31"/>
      <c r="W31"/>
      <c r="X31"/>
      <c r="Y31"/>
      <c r="Z31"/>
      <c r="AA31"/>
      <c r="AB31"/>
      <c r="AC31"/>
    </row>
    <row r="32" spans="1:29" x14ac:dyDescent="0.3">
      <c r="A32"/>
      <c r="B32" s="127">
        <v>20</v>
      </c>
      <c r="C32" s="128"/>
      <c r="D32" s="128"/>
      <c r="E32" s="128"/>
      <c r="F32" s="128"/>
      <c r="G32" s="128"/>
      <c r="H32" s="128"/>
      <c r="I32" s="128"/>
      <c r="J32" s="128"/>
      <c r="K32" s="128"/>
      <c r="L32" s="128"/>
      <c r="M32" s="128"/>
      <c r="N32" s="128"/>
      <c r="O32" s="128"/>
      <c r="P32" s="128"/>
      <c r="Q32" s="128"/>
      <c r="R32" s="128"/>
      <c r="S32" s="128"/>
      <c r="T32" s="128"/>
      <c r="U32" s="129"/>
      <c r="V32"/>
      <c r="W32"/>
      <c r="X32"/>
      <c r="Y32"/>
      <c r="Z32"/>
      <c r="AA32"/>
      <c r="AB32"/>
      <c r="AC32"/>
    </row>
    <row r="33" spans="1:29" x14ac:dyDescent="0.3">
      <c r="A33"/>
      <c r="B33" s="127">
        <v>21</v>
      </c>
      <c r="C33" s="128"/>
      <c r="D33" s="128"/>
      <c r="E33" s="128"/>
      <c r="F33" s="128"/>
      <c r="G33" s="128"/>
      <c r="H33" s="128"/>
      <c r="I33" s="128"/>
      <c r="J33" s="128"/>
      <c r="K33" s="128"/>
      <c r="L33" s="128"/>
      <c r="M33" s="128"/>
      <c r="N33" s="128"/>
      <c r="O33" s="128"/>
      <c r="P33" s="128"/>
      <c r="Q33" s="128"/>
      <c r="R33" s="128"/>
      <c r="S33" s="128"/>
      <c r="T33" s="128"/>
      <c r="U33" s="129"/>
      <c r="V33"/>
      <c r="W33"/>
      <c r="X33"/>
      <c r="Y33"/>
      <c r="Z33"/>
      <c r="AA33"/>
      <c r="AB33"/>
      <c r="AC33"/>
    </row>
    <row r="34" spans="1:29" x14ac:dyDescent="0.3">
      <c r="A34"/>
      <c r="B34" s="127">
        <v>22</v>
      </c>
      <c r="C34" s="128"/>
      <c r="D34" s="128"/>
      <c r="E34" s="128"/>
      <c r="F34" s="128"/>
      <c r="G34" s="128"/>
      <c r="H34" s="128"/>
      <c r="I34" s="128"/>
      <c r="J34" s="128"/>
      <c r="K34" s="128"/>
      <c r="L34" s="128"/>
      <c r="M34" s="128"/>
      <c r="N34" s="128"/>
      <c r="O34" s="128"/>
      <c r="P34" s="128"/>
      <c r="Q34" s="128"/>
      <c r="R34" s="128"/>
      <c r="S34" s="128"/>
      <c r="T34" s="128"/>
      <c r="U34" s="129"/>
      <c r="V34"/>
      <c r="W34"/>
      <c r="X34"/>
      <c r="Y34"/>
      <c r="Z34"/>
      <c r="AA34"/>
      <c r="AB34"/>
      <c r="AC34"/>
    </row>
    <row r="35" spans="1:29" x14ac:dyDescent="0.3">
      <c r="A35"/>
      <c r="B35" s="127">
        <v>23</v>
      </c>
      <c r="C35" s="128"/>
      <c r="D35" s="128"/>
      <c r="E35" s="128"/>
      <c r="F35" s="128"/>
      <c r="G35" s="128"/>
      <c r="H35" s="128"/>
      <c r="I35" s="128"/>
      <c r="J35" s="128"/>
      <c r="K35" s="128"/>
      <c r="L35" s="128"/>
      <c r="M35" s="128"/>
      <c r="N35" s="128"/>
      <c r="O35" s="128"/>
      <c r="P35" s="128"/>
      <c r="Q35" s="128"/>
      <c r="R35" s="128"/>
      <c r="S35" s="128"/>
      <c r="T35" s="128"/>
      <c r="U35" s="129"/>
      <c r="V35"/>
      <c r="W35"/>
      <c r="X35"/>
      <c r="Y35"/>
      <c r="Z35"/>
      <c r="AA35"/>
      <c r="AB35"/>
      <c r="AC35"/>
    </row>
    <row r="36" spans="1:29" x14ac:dyDescent="0.3">
      <c r="A36"/>
      <c r="B36" s="127">
        <v>24</v>
      </c>
      <c r="C36" s="128"/>
      <c r="D36" s="128"/>
      <c r="E36" s="128"/>
      <c r="F36" s="128"/>
      <c r="G36" s="128"/>
      <c r="H36" s="128"/>
      <c r="I36" s="128"/>
      <c r="J36" s="128"/>
      <c r="K36" s="128"/>
      <c r="L36" s="128"/>
      <c r="M36" s="128"/>
      <c r="N36" s="128"/>
      <c r="O36" s="128"/>
      <c r="P36" s="128"/>
      <c r="Q36" s="128"/>
      <c r="R36" s="128"/>
      <c r="S36" s="128"/>
      <c r="T36" s="128"/>
      <c r="U36" s="129"/>
      <c r="V36"/>
      <c r="W36"/>
      <c r="X36"/>
      <c r="Y36"/>
      <c r="Z36"/>
      <c r="AA36"/>
      <c r="AB36"/>
      <c r="AC36"/>
    </row>
    <row r="37" spans="1:29" x14ac:dyDescent="0.3">
      <c r="A37"/>
      <c r="B37" s="127">
        <v>25</v>
      </c>
      <c r="C37" s="128"/>
      <c r="D37" s="128"/>
      <c r="E37" s="128"/>
      <c r="F37" s="128"/>
      <c r="G37" s="128"/>
      <c r="H37" s="128"/>
      <c r="I37" s="128"/>
      <c r="J37" s="128"/>
      <c r="K37" s="128"/>
      <c r="L37" s="128"/>
      <c r="M37" s="128"/>
      <c r="N37" s="128"/>
      <c r="O37" s="128"/>
      <c r="P37" s="128"/>
      <c r="Q37" s="128"/>
      <c r="R37" s="128"/>
      <c r="S37" s="128"/>
      <c r="T37" s="128"/>
      <c r="U37" s="129"/>
      <c r="V37"/>
      <c r="W37"/>
      <c r="X37"/>
      <c r="Y37"/>
      <c r="Z37"/>
      <c r="AA37"/>
      <c r="AB37"/>
      <c r="AC37"/>
    </row>
    <row r="38" spans="1:29" x14ac:dyDescent="0.3">
      <c r="A38"/>
      <c r="B38" s="127">
        <v>26</v>
      </c>
      <c r="C38" s="128"/>
      <c r="D38" s="128"/>
      <c r="E38" s="128"/>
      <c r="F38" s="128"/>
      <c r="G38" s="128"/>
      <c r="H38" s="128"/>
      <c r="I38" s="128"/>
      <c r="J38" s="128"/>
      <c r="K38" s="128"/>
      <c r="L38" s="128"/>
      <c r="M38" s="128"/>
      <c r="N38" s="128"/>
      <c r="O38" s="128"/>
      <c r="P38" s="128"/>
      <c r="Q38" s="128"/>
      <c r="R38" s="128"/>
      <c r="S38" s="128"/>
      <c r="T38" s="128"/>
      <c r="U38" s="129"/>
      <c r="V38"/>
      <c r="W38"/>
      <c r="X38"/>
      <c r="Y38"/>
      <c r="Z38"/>
      <c r="AA38"/>
      <c r="AB38"/>
      <c r="AC38"/>
    </row>
    <row r="39" spans="1:29" x14ac:dyDescent="0.3">
      <c r="A39"/>
      <c r="B39" s="127">
        <v>27</v>
      </c>
      <c r="C39" s="128"/>
      <c r="D39" s="128"/>
      <c r="E39" s="128"/>
      <c r="F39" s="128"/>
      <c r="G39" s="128"/>
      <c r="H39" s="128"/>
      <c r="I39" s="128"/>
      <c r="J39" s="128"/>
      <c r="K39" s="128"/>
      <c r="L39" s="128"/>
      <c r="M39" s="128"/>
      <c r="N39" s="128"/>
      <c r="O39" s="128"/>
      <c r="P39" s="128"/>
      <c r="Q39" s="128"/>
      <c r="R39" s="128"/>
      <c r="S39" s="128"/>
      <c r="T39" s="128"/>
      <c r="U39" s="129"/>
    </row>
    <row r="40" spans="1:29" x14ac:dyDescent="0.3">
      <c r="A40"/>
      <c r="B40" s="127">
        <v>28</v>
      </c>
      <c r="C40" s="128"/>
      <c r="D40" s="128"/>
      <c r="E40" s="128"/>
      <c r="F40" s="128"/>
      <c r="G40" s="128"/>
      <c r="H40" s="128"/>
      <c r="I40" s="128"/>
      <c r="J40" s="128"/>
      <c r="K40" s="128"/>
      <c r="L40" s="128"/>
      <c r="M40" s="128"/>
      <c r="N40" s="128"/>
      <c r="O40" s="128"/>
      <c r="P40" s="128"/>
      <c r="Q40" s="128"/>
      <c r="R40" s="128"/>
      <c r="S40" s="128"/>
      <c r="T40" s="128"/>
      <c r="U40" s="129"/>
    </row>
    <row r="41" spans="1:29" x14ac:dyDescent="0.3">
      <c r="A41"/>
      <c r="B41" s="127">
        <v>29</v>
      </c>
      <c r="C41" s="128"/>
      <c r="D41" s="128"/>
      <c r="E41" s="128"/>
      <c r="F41" s="128"/>
      <c r="G41" s="128"/>
      <c r="H41" s="128"/>
      <c r="I41" s="128"/>
      <c r="J41" s="128"/>
      <c r="K41" s="128"/>
      <c r="L41" s="128"/>
      <c r="M41" s="128"/>
      <c r="N41" s="128"/>
      <c r="O41" s="128"/>
      <c r="P41" s="128"/>
      <c r="Q41" s="128"/>
      <c r="R41" s="128"/>
      <c r="S41" s="128"/>
      <c r="T41" s="128"/>
      <c r="U41" s="129"/>
    </row>
    <row r="42" spans="1:29" x14ac:dyDescent="0.3">
      <c r="A42"/>
      <c r="B42" s="127">
        <v>30</v>
      </c>
      <c r="C42" s="128"/>
      <c r="D42" s="128"/>
      <c r="E42" s="128"/>
      <c r="F42" s="128"/>
      <c r="G42" s="128"/>
      <c r="H42" s="128"/>
      <c r="I42" s="128"/>
      <c r="J42" s="128"/>
      <c r="K42" s="128"/>
      <c r="L42" s="128"/>
      <c r="M42" s="128"/>
      <c r="N42" s="128"/>
      <c r="O42" s="128"/>
      <c r="P42" s="128"/>
      <c r="Q42" s="128"/>
      <c r="R42" s="128"/>
      <c r="S42" s="128"/>
      <c r="T42" s="128"/>
      <c r="U42" s="129"/>
    </row>
    <row r="43" spans="1:29" hidden="1" x14ac:dyDescent="0.3">
      <c r="A43"/>
      <c r="B43" s="145" t="s">
        <v>84</v>
      </c>
      <c r="C43" s="142">
        <f>SUM(AggPresumptiveP1[Total Presumptive TB])</f>
        <v>0</v>
      </c>
      <c r="D43" s="142">
        <f>SUM(AggPresumptiveP1[Age 0-14])</f>
        <v>0</v>
      </c>
      <c r="E43" s="142">
        <f>SUM(AggPresumptiveP1[Age 15+ ])</f>
        <v>0</v>
      </c>
      <c r="F43" s="142">
        <f>SUM(AggPresumptiveP1[Number Specimens Collected])</f>
        <v>0</v>
      </c>
      <c r="G43" s="142">
        <f>SUBTOTAL(109,AggPresumptiveP1[Unable to Produce])</f>
        <v>0</v>
      </c>
      <c r="H43" s="142">
        <f>SUM(AggPresumptiveP1[HIV Positive])</f>
        <v>0</v>
      </c>
      <c r="I43" s="142">
        <f>SUM(AggPresumptiveP1[HIV Negative])</f>
        <v>0</v>
      </c>
      <c r="J43" s="142">
        <f>SUM(AggPresumptiveP1[Not Tested])</f>
        <v>0</v>
      </c>
      <c r="K43" s="142">
        <f>SUM(AggPresumptiveP1[AFB (-)])</f>
        <v>0</v>
      </c>
      <c r="L43" s="142">
        <f>SUM(AggPresumptiveP1[AFB (+)])</f>
        <v>0</v>
      </c>
      <c r="M43" s="142">
        <f>SUM(AggPresumptiveP1[MTB Not Detected
(N)])</f>
        <v>0</v>
      </c>
      <c r="N43" s="142">
        <f>SUM(AggPresumptiveP1[MTB Detected
(including trace), 
RIF Resistance not Detected
(T)])</f>
        <v>0</v>
      </c>
      <c r="O43" s="142">
        <f>SUM(AggPresumptiveP1[MTB Detected (including trace), 
RIF Resistance Detected
(RR)])</f>
        <v>0</v>
      </c>
      <c r="P43" s="142">
        <f>SUM(AggPresumptiveP1[MTB Detected (including trace), 
RIF Resistance Indeterminate
(TI)])</f>
        <v>0</v>
      </c>
      <c r="Q43" s="142">
        <f>SUM(AggPresumptiveP1[Invalid
No Result Error
(I)])</f>
        <v>0</v>
      </c>
      <c r="R43" s="142">
        <f>SUM(AggPresumptiveP1[LAM Positive])</f>
        <v>0</v>
      </c>
      <c r="S43" s="142">
        <f>SUM(AggPresumptiveP1[LAM Negative])</f>
        <v>0</v>
      </c>
      <c r="T43" s="142">
        <f>SUM(AggPresumptiveP1[Invalid])</f>
        <v>0</v>
      </c>
    </row>
    <row r="44" spans="1:29" x14ac:dyDescent="0.3">
      <c r="A44"/>
      <c r="B44" s="154" t="s">
        <v>84</v>
      </c>
      <c r="C44" s="24">
        <f>AggPresumptiveP1[[#Totals],[Total Presumptive TB]]</f>
        <v>0</v>
      </c>
      <c r="D44" s="24">
        <f>AggPresumptiveP1[[#Totals],[Age 0-14]]</f>
        <v>0</v>
      </c>
      <c r="E44" s="24">
        <f>AggPresumptiveP1[[#Totals],[Age 15+ ]]</f>
        <v>0</v>
      </c>
      <c r="F44" s="24">
        <f>AggPresumptiveP1[[#Totals],[Number Specimens Collected]]</f>
        <v>0</v>
      </c>
      <c r="G44" s="24">
        <f>AggPresumptiveP1[[#Totals],[Unable to Produce]]</f>
        <v>0</v>
      </c>
      <c r="H44" s="24">
        <f>AggPresumptiveP1[[#Totals],[HIV Positive]]</f>
        <v>0</v>
      </c>
      <c r="I44" s="24">
        <f>AggPresumptiveP1[[#Totals],[HIV Negative]]</f>
        <v>0</v>
      </c>
      <c r="J44" s="24">
        <f>AggPresumptiveP1[[#Totals],[Not Tested]]</f>
        <v>0</v>
      </c>
      <c r="K44" s="24">
        <f>AggPresumptiveP1[[#Totals],[AFB (-)]]</f>
        <v>0</v>
      </c>
      <c r="L44" s="24">
        <f>AggPresumptiveP1[[#Totals],[AFB (+)]]</f>
        <v>0</v>
      </c>
      <c r="M44" s="24">
        <f>AggPresumptiveP1[[#Totals],[MTB Not Detected
(N)]]</f>
        <v>0</v>
      </c>
      <c r="N44" s="24">
        <f>AggPresumptiveP1[[#Totals],[MTB Detected
(including trace), 
RIF Resistance not Detected
(T)]]</f>
        <v>0</v>
      </c>
      <c r="O44" s="24">
        <f>AggPresumptiveP1[[#Totals],[MTB Detected (including trace), 
RIF Resistance Detected
(RR)]]</f>
        <v>0</v>
      </c>
      <c r="P44" s="24">
        <f>AggPresumptiveP1[[#Totals],[MTB Detected (including trace), 
RIF Resistance Indeterminate
(TI)]]</f>
        <v>0</v>
      </c>
      <c r="Q44" s="24">
        <f>AggPresumptiveP1[[#Totals],[Invalid
No Result Error
(I)]]</f>
        <v>0</v>
      </c>
      <c r="R44" s="24">
        <f>AggPresumptiveP1[[#Totals],[LAM Positive]]</f>
        <v>0</v>
      </c>
      <c r="S44" s="24">
        <f>AggPresumptiveP1[[#Totals],[LAM Negative]]</f>
        <v>0</v>
      </c>
      <c r="T44" s="24">
        <f>AggPresumptiveP1[[#Totals],[Invalid]]</f>
        <v>0</v>
      </c>
      <c r="V44"/>
    </row>
    <row r="45" spans="1:29" x14ac:dyDescent="0.3">
      <c r="A45"/>
      <c r="B45" s="154"/>
      <c r="C45" s="24"/>
      <c r="D45" s="24"/>
      <c r="E45" s="24"/>
      <c r="F45" s="24"/>
      <c r="G45" s="24"/>
      <c r="H45" s="24"/>
      <c r="I45" s="24"/>
      <c r="J45" s="24"/>
      <c r="K45" s="24"/>
      <c r="L45" s="24"/>
      <c r="M45" s="24"/>
      <c r="N45" s="24"/>
      <c r="O45" s="24"/>
      <c r="P45" s="24"/>
      <c r="Q45" s="24"/>
      <c r="R45" s="24"/>
      <c r="S45" s="24"/>
      <c r="T45" s="24"/>
      <c r="U45" s="24"/>
      <c r="V45" s="24"/>
    </row>
    <row r="46" spans="1:29" x14ac:dyDescent="0.3">
      <c r="A46"/>
      <c r="B46" s="146"/>
      <c r="C46" s="147"/>
      <c r="D46" s="147"/>
      <c r="E46" s="147"/>
      <c r="F46" s="147"/>
      <c r="G46" s="147"/>
      <c r="H46" s="147"/>
      <c r="I46" s="147"/>
      <c r="J46" s="147"/>
      <c r="K46" s="147"/>
      <c r="L46" s="147"/>
      <c r="M46" s="147"/>
      <c r="N46" s="147"/>
      <c r="O46" s="147"/>
      <c r="P46" s="147"/>
      <c r="Q46" s="147"/>
      <c r="R46" s="147"/>
      <c r="U46"/>
      <c r="V46"/>
      <c r="W46"/>
    </row>
    <row r="47" spans="1:29" s="148" customFormat="1" ht="28.8" customHeight="1" x14ac:dyDescent="0.3">
      <c r="A47"/>
      <c r="B47" s="771" t="str">
        <f>IF('1. ASSESSMENT PROFILE'!D39&lt;&gt;"", '1. ASSESSMENT PROFILE'!D39,"")</f>
        <v/>
      </c>
      <c r="C47" s="771"/>
      <c r="D47" s="771"/>
      <c r="E47" s="771"/>
      <c r="F47" s="771"/>
      <c r="G47" s="771"/>
      <c r="H47" s="771"/>
      <c r="I47" s="771"/>
      <c r="J47" s="771"/>
      <c r="K47" s="771"/>
      <c r="L47" s="771"/>
      <c r="M47" s="771"/>
      <c r="N47" s="771"/>
      <c r="O47" s="771"/>
      <c r="P47" s="771"/>
      <c r="Q47" s="771"/>
      <c r="R47" s="771"/>
      <c r="S47" s="771"/>
      <c r="T47" s="771"/>
      <c r="U47"/>
      <c r="V47"/>
      <c r="W47"/>
    </row>
    <row r="48" spans="1:29" s="328" customFormat="1" ht="28.8" customHeight="1" x14ac:dyDescent="0.3">
      <c r="A48"/>
      <c r="B48" s="763"/>
      <c r="C48" s="763"/>
      <c r="D48" s="785" t="s">
        <v>14</v>
      </c>
      <c r="E48" s="785"/>
      <c r="F48" s="766" t="s">
        <v>89</v>
      </c>
      <c r="G48" s="767"/>
      <c r="H48" s="764" t="s">
        <v>57</v>
      </c>
      <c r="I48" s="765"/>
      <c r="J48" s="144" t="s">
        <v>58</v>
      </c>
      <c r="K48" s="785" t="s">
        <v>123</v>
      </c>
      <c r="L48" s="785"/>
      <c r="M48" s="785" t="s">
        <v>224</v>
      </c>
      <c r="N48" s="785"/>
      <c r="O48" s="785"/>
      <c r="P48" s="785"/>
      <c r="Q48" s="785"/>
      <c r="R48" s="785" t="s">
        <v>129</v>
      </c>
      <c r="S48" s="785"/>
      <c r="T48" s="785"/>
      <c r="U48"/>
      <c r="V48"/>
      <c r="W48"/>
    </row>
    <row r="49" spans="1:23" ht="142.5" customHeight="1" x14ac:dyDescent="0.3">
      <c r="A49"/>
      <c r="B49" s="329" t="s">
        <v>59</v>
      </c>
      <c r="C49" s="125" t="s">
        <v>111</v>
      </c>
      <c r="D49" s="125" t="s">
        <v>53</v>
      </c>
      <c r="E49" s="125" t="s">
        <v>54</v>
      </c>
      <c r="F49" s="125" t="s">
        <v>90</v>
      </c>
      <c r="G49" s="125" t="s">
        <v>246</v>
      </c>
      <c r="H49" s="144" t="s">
        <v>133</v>
      </c>
      <c r="I49" s="144" t="s">
        <v>134</v>
      </c>
      <c r="J49" s="125" t="s">
        <v>56</v>
      </c>
      <c r="K49" s="125" t="s">
        <v>6</v>
      </c>
      <c r="L49" s="144" t="s">
        <v>5</v>
      </c>
      <c r="M49" s="141" t="s">
        <v>122</v>
      </c>
      <c r="N49" s="141" t="s">
        <v>124</v>
      </c>
      <c r="O49" s="141" t="s">
        <v>125</v>
      </c>
      <c r="P49" s="141" t="s">
        <v>126</v>
      </c>
      <c r="Q49" s="141" t="s">
        <v>391</v>
      </c>
      <c r="R49" s="141" t="s">
        <v>130</v>
      </c>
      <c r="S49" s="140" t="s">
        <v>131</v>
      </c>
      <c r="T49" s="140" t="s">
        <v>132</v>
      </c>
      <c r="U49"/>
      <c r="V49"/>
      <c r="W49"/>
    </row>
    <row r="50" spans="1:23" x14ac:dyDescent="0.3">
      <c r="A50"/>
      <c r="B50" s="127">
        <v>1</v>
      </c>
      <c r="C50" s="367"/>
      <c r="D50" s="128"/>
      <c r="E50" s="129"/>
      <c r="F50" s="128"/>
      <c r="G50" s="128"/>
      <c r="H50" s="128"/>
      <c r="I50" s="128"/>
      <c r="J50" s="128"/>
      <c r="K50" s="128"/>
      <c r="L50" s="128"/>
      <c r="M50" s="128"/>
      <c r="N50" s="128"/>
      <c r="O50" s="128"/>
      <c r="P50" s="128"/>
      <c r="Q50" s="128"/>
      <c r="R50" s="128"/>
      <c r="S50" s="128"/>
      <c r="T50" s="128"/>
    </row>
    <row r="51" spans="1:23" x14ac:dyDescent="0.3">
      <c r="A51"/>
      <c r="B51" s="127">
        <v>2</v>
      </c>
      <c r="C51" s="128"/>
      <c r="D51" s="128"/>
      <c r="E51" s="128"/>
      <c r="F51" s="128"/>
      <c r="G51" s="128"/>
      <c r="H51" s="128"/>
      <c r="I51" s="128"/>
      <c r="J51" s="128"/>
      <c r="K51" s="128"/>
      <c r="L51" s="128"/>
      <c r="M51" s="128"/>
      <c r="N51" s="128"/>
      <c r="O51" s="128"/>
      <c r="P51" s="128"/>
      <c r="Q51" s="128"/>
      <c r="R51" s="128"/>
      <c r="S51" s="128"/>
      <c r="T51" s="128"/>
    </row>
    <row r="52" spans="1:23" x14ac:dyDescent="0.3">
      <c r="A52"/>
      <c r="B52" s="127">
        <v>3</v>
      </c>
      <c r="C52" s="128"/>
      <c r="D52" s="128"/>
      <c r="E52" s="128"/>
      <c r="F52" s="128"/>
      <c r="G52" s="128"/>
      <c r="H52" s="128"/>
      <c r="I52" s="128"/>
      <c r="J52" s="128"/>
      <c r="K52" s="128"/>
      <c r="L52" s="128"/>
      <c r="M52" s="128"/>
      <c r="N52" s="128"/>
      <c r="O52" s="128"/>
      <c r="P52" s="128"/>
      <c r="Q52" s="128"/>
      <c r="R52" s="128"/>
      <c r="S52" s="128"/>
      <c r="T52" s="128"/>
    </row>
    <row r="53" spans="1:23" x14ac:dyDescent="0.3">
      <c r="A53"/>
      <c r="B53" s="127">
        <v>4</v>
      </c>
      <c r="C53" s="128"/>
      <c r="D53" s="128"/>
      <c r="E53" s="128"/>
      <c r="F53" s="128"/>
      <c r="G53" s="128"/>
      <c r="H53" s="128"/>
      <c r="I53" s="128"/>
      <c r="J53" s="128"/>
      <c r="K53" s="128"/>
      <c r="L53" s="128"/>
      <c r="M53" s="128"/>
      <c r="N53" s="128"/>
      <c r="O53" s="128"/>
      <c r="P53" s="128"/>
      <c r="Q53" s="128"/>
      <c r="R53" s="128"/>
      <c r="S53" s="128"/>
      <c r="T53" s="128"/>
    </row>
    <row r="54" spans="1:23" x14ac:dyDescent="0.3">
      <c r="A54"/>
      <c r="B54" s="127">
        <v>5</v>
      </c>
      <c r="C54" s="128"/>
      <c r="D54" s="128"/>
      <c r="E54" s="128"/>
      <c r="F54" s="128"/>
      <c r="G54" s="128"/>
      <c r="H54" s="128"/>
      <c r="I54" s="128"/>
      <c r="J54" s="128"/>
      <c r="K54" s="128"/>
      <c r="L54" s="128"/>
      <c r="M54" s="128"/>
      <c r="N54" s="128"/>
      <c r="O54" s="128"/>
      <c r="P54" s="128"/>
      <c r="Q54" s="128"/>
      <c r="R54" s="128"/>
      <c r="S54" s="128"/>
      <c r="T54" s="128"/>
    </row>
    <row r="55" spans="1:23" x14ac:dyDescent="0.3">
      <c r="A55"/>
      <c r="B55" s="127">
        <v>6</v>
      </c>
      <c r="C55" s="128"/>
      <c r="D55" s="128"/>
      <c r="E55" s="128"/>
      <c r="F55" s="128"/>
      <c r="G55" s="128"/>
      <c r="H55" s="128"/>
      <c r="I55" s="128"/>
      <c r="J55" s="128"/>
      <c r="K55" s="128"/>
      <c r="L55" s="128"/>
      <c r="M55" s="128"/>
      <c r="N55" s="128"/>
      <c r="O55" s="128"/>
      <c r="P55" s="128"/>
      <c r="Q55" s="128"/>
      <c r="R55" s="128"/>
      <c r="S55" s="128"/>
      <c r="T55" s="128"/>
    </row>
    <row r="56" spans="1:23" x14ac:dyDescent="0.3">
      <c r="A56"/>
      <c r="B56" s="127">
        <v>7</v>
      </c>
      <c r="C56" s="128"/>
      <c r="D56" s="128"/>
      <c r="E56" s="128"/>
      <c r="F56" s="128"/>
      <c r="G56" s="128"/>
      <c r="H56" s="128"/>
      <c r="I56" s="128"/>
      <c r="J56" s="128"/>
      <c r="K56" s="128"/>
      <c r="L56" s="128"/>
      <c r="M56" s="128"/>
      <c r="N56" s="128"/>
      <c r="O56" s="128"/>
      <c r="P56" s="128"/>
      <c r="Q56" s="128"/>
      <c r="R56" s="128"/>
      <c r="S56" s="128"/>
      <c r="T56" s="128"/>
    </row>
    <row r="57" spans="1:23" x14ac:dyDescent="0.3">
      <c r="A57"/>
      <c r="B57" s="127">
        <v>8</v>
      </c>
      <c r="C57" s="128"/>
      <c r="D57" s="128"/>
      <c r="E57" s="128"/>
      <c r="F57" s="128"/>
      <c r="G57" s="128"/>
      <c r="H57" s="128"/>
      <c r="I57" s="128"/>
      <c r="J57" s="128"/>
      <c r="K57" s="128"/>
      <c r="L57" s="128"/>
      <c r="M57" s="128"/>
      <c r="N57" s="128"/>
      <c r="O57" s="128"/>
      <c r="P57" s="128"/>
      <c r="Q57" s="128"/>
      <c r="R57" s="128"/>
      <c r="S57" s="128"/>
      <c r="T57" s="128"/>
    </row>
    <row r="58" spans="1:23" x14ac:dyDescent="0.3">
      <c r="A58"/>
      <c r="B58" s="127">
        <v>9</v>
      </c>
      <c r="C58" s="128"/>
      <c r="D58" s="128"/>
      <c r="E58" s="128"/>
      <c r="F58" s="128"/>
      <c r="G58" s="128"/>
      <c r="H58" s="128"/>
      <c r="I58" s="128"/>
      <c r="J58" s="128"/>
      <c r="K58" s="128"/>
      <c r="L58" s="128"/>
      <c r="M58" s="128"/>
      <c r="N58" s="128"/>
      <c r="O58" s="128"/>
      <c r="P58" s="128"/>
      <c r="Q58" s="128"/>
      <c r="R58" s="128"/>
      <c r="S58" s="128"/>
      <c r="T58" s="128"/>
    </row>
    <row r="59" spans="1:23" x14ac:dyDescent="0.3">
      <c r="A59"/>
      <c r="B59" s="127">
        <v>10</v>
      </c>
      <c r="C59" s="128"/>
      <c r="D59" s="128"/>
      <c r="E59" s="128"/>
      <c r="F59" s="128"/>
      <c r="G59" s="128"/>
      <c r="H59" s="128"/>
      <c r="I59" s="128"/>
      <c r="J59" s="128"/>
      <c r="K59" s="128"/>
      <c r="L59" s="128"/>
      <c r="M59" s="128"/>
      <c r="N59" s="128"/>
      <c r="O59" s="128"/>
      <c r="P59" s="128"/>
      <c r="Q59" s="128"/>
      <c r="R59" s="128"/>
      <c r="S59" s="128"/>
      <c r="T59" s="128"/>
    </row>
    <row r="60" spans="1:23" x14ac:dyDescent="0.3">
      <c r="A60"/>
      <c r="B60" s="127">
        <v>11</v>
      </c>
      <c r="C60" s="128"/>
      <c r="D60" s="128"/>
      <c r="E60" s="128"/>
      <c r="F60" s="128"/>
      <c r="G60" s="128"/>
      <c r="H60" s="128"/>
      <c r="I60" s="128"/>
      <c r="J60" s="128"/>
      <c r="K60" s="128"/>
      <c r="L60" s="128"/>
      <c r="M60" s="128"/>
      <c r="N60" s="128"/>
      <c r="O60" s="128"/>
      <c r="P60" s="128"/>
      <c r="Q60" s="128"/>
      <c r="R60" s="128"/>
      <c r="S60" s="128"/>
      <c r="T60" s="128"/>
    </row>
    <row r="61" spans="1:23" x14ac:dyDescent="0.3">
      <c r="A61"/>
      <c r="B61" s="127">
        <v>12</v>
      </c>
      <c r="C61" s="128"/>
      <c r="D61" s="128"/>
      <c r="E61" s="128"/>
      <c r="F61" s="128"/>
      <c r="G61" s="128"/>
      <c r="H61" s="128"/>
      <c r="I61" s="128"/>
      <c r="J61" s="128"/>
      <c r="K61" s="128"/>
      <c r="L61" s="128"/>
      <c r="M61" s="128"/>
      <c r="N61" s="128"/>
      <c r="O61" s="128"/>
      <c r="P61" s="128"/>
      <c r="Q61" s="128"/>
      <c r="R61" s="128"/>
      <c r="S61" s="128"/>
      <c r="T61" s="128"/>
    </row>
    <row r="62" spans="1:23" x14ac:dyDescent="0.3">
      <c r="A62"/>
      <c r="B62" s="127">
        <v>13</v>
      </c>
      <c r="C62" s="128"/>
      <c r="D62" s="128"/>
      <c r="E62" s="128"/>
      <c r="F62" s="128"/>
      <c r="G62" s="128"/>
      <c r="H62" s="128"/>
      <c r="I62" s="128"/>
      <c r="J62" s="128"/>
      <c r="K62" s="128"/>
      <c r="L62" s="128"/>
      <c r="M62" s="128"/>
      <c r="N62" s="128"/>
      <c r="O62" s="128"/>
      <c r="P62" s="128"/>
      <c r="Q62" s="128"/>
      <c r="R62" s="128"/>
      <c r="S62" s="128"/>
      <c r="T62" s="128"/>
    </row>
    <row r="63" spans="1:23" x14ac:dyDescent="0.3">
      <c r="A63"/>
      <c r="B63" s="127">
        <v>14</v>
      </c>
      <c r="C63" s="128"/>
      <c r="D63" s="128"/>
      <c r="E63" s="128"/>
      <c r="F63" s="128"/>
      <c r="G63" s="128"/>
      <c r="H63" s="128"/>
      <c r="I63" s="128"/>
      <c r="J63" s="128"/>
      <c r="K63" s="128"/>
      <c r="L63" s="128"/>
      <c r="M63" s="128"/>
      <c r="N63" s="128"/>
      <c r="O63" s="128"/>
      <c r="P63" s="128"/>
      <c r="Q63" s="128"/>
      <c r="R63" s="128"/>
      <c r="S63" s="128"/>
      <c r="T63" s="128"/>
    </row>
    <row r="64" spans="1:23" x14ac:dyDescent="0.3">
      <c r="A64"/>
      <c r="B64" s="127">
        <v>15</v>
      </c>
      <c r="C64" s="128"/>
      <c r="D64" s="128"/>
      <c r="E64" s="128"/>
      <c r="F64" s="128"/>
      <c r="G64" s="128"/>
      <c r="H64" s="128"/>
      <c r="I64" s="128"/>
      <c r="J64" s="128"/>
      <c r="K64" s="128"/>
      <c r="L64" s="128"/>
      <c r="M64" s="128"/>
      <c r="N64" s="128"/>
      <c r="O64" s="128"/>
      <c r="P64" s="128"/>
      <c r="Q64" s="128"/>
      <c r="R64" s="128"/>
      <c r="S64" s="128"/>
      <c r="T64" s="128"/>
    </row>
    <row r="65" spans="1:20" x14ac:dyDescent="0.3">
      <c r="A65"/>
      <c r="B65" s="127">
        <v>16</v>
      </c>
      <c r="C65" s="128"/>
      <c r="D65" s="128"/>
      <c r="E65" s="128"/>
      <c r="F65" s="128"/>
      <c r="G65" s="128"/>
      <c r="H65" s="128"/>
      <c r="I65" s="128"/>
      <c r="J65" s="128"/>
      <c r="K65" s="128"/>
      <c r="L65" s="128"/>
      <c r="M65" s="128"/>
      <c r="N65" s="128"/>
      <c r="O65" s="128"/>
      <c r="P65" s="128"/>
      <c r="Q65" s="128"/>
      <c r="R65" s="128"/>
      <c r="S65" s="128"/>
      <c r="T65" s="128"/>
    </row>
    <row r="66" spans="1:20" x14ac:dyDescent="0.3">
      <c r="A66"/>
      <c r="B66" s="127">
        <v>17</v>
      </c>
      <c r="C66" s="128"/>
      <c r="D66" s="128"/>
      <c r="E66" s="128"/>
      <c r="F66" s="128"/>
      <c r="G66" s="128"/>
      <c r="H66" s="128"/>
      <c r="I66" s="128"/>
      <c r="J66" s="128"/>
      <c r="K66" s="128"/>
      <c r="L66" s="128"/>
      <c r="M66" s="128"/>
      <c r="N66" s="128"/>
      <c r="O66" s="128"/>
      <c r="P66" s="128"/>
      <c r="Q66" s="128"/>
      <c r="R66" s="128"/>
      <c r="S66" s="128"/>
      <c r="T66" s="128"/>
    </row>
    <row r="67" spans="1:20" x14ac:dyDescent="0.3">
      <c r="A67"/>
      <c r="B67" s="127">
        <v>18</v>
      </c>
      <c r="C67" s="128"/>
      <c r="D67" s="128"/>
      <c r="E67" s="128"/>
      <c r="F67" s="128"/>
      <c r="G67" s="128"/>
      <c r="H67" s="128"/>
      <c r="I67" s="128"/>
      <c r="J67" s="128"/>
      <c r="K67" s="128"/>
      <c r="L67" s="128"/>
      <c r="M67" s="128"/>
      <c r="N67" s="128"/>
      <c r="O67" s="128"/>
      <c r="P67" s="128"/>
      <c r="Q67" s="128"/>
      <c r="R67" s="128"/>
      <c r="S67" s="128"/>
      <c r="T67" s="128"/>
    </row>
    <row r="68" spans="1:20" x14ac:dyDescent="0.3">
      <c r="A68"/>
      <c r="B68" s="127">
        <v>19</v>
      </c>
      <c r="C68" s="128"/>
      <c r="D68" s="128"/>
      <c r="E68" s="128"/>
      <c r="F68" s="128"/>
      <c r="G68" s="128"/>
      <c r="H68" s="128"/>
      <c r="I68" s="128"/>
      <c r="J68" s="128"/>
      <c r="K68" s="128"/>
      <c r="L68" s="128"/>
      <c r="M68" s="128"/>
      <c r="N68" s="128"/>
      <c r="O68" s="128"/>
      <c r="P68" s="128"/>
      <c r="Q68" s="128"/>
      <c r="R68" s="128"/>
      <c r="S68" s="128"/>
      <c r="T68" s="128"/>
    </row>
    <row r="69" spans="1:20" x14ac:dyDescent="0.3">
      <c r="A69"/>
      <c r="B69" s="127">
        <v>20</v>
      </c>
      <c r="C69" s="128"/>
      <c r="D69" s="128"/>
      <c r="E69" s="128"/>
      <c r="F69" s="128"/>
      <c r="G69" s="128"/>
      <c r="H69" s="128"/>
      <c r="I69" s="128"/>
      <c r="J69" s="128"/>
      <c r="K69" s="128"/>
      <c r="L69" s="128"/>
      <c r="M69" s="128"/>
      <c r="N69" s="128"/>
      <c r="O69" s="128"/>
      <c r="P69" s="128"/>
      <c r="Q69" s="128"/>
      <c r="R69" s="128"/>
      <c r="S69" s="128"/>
      <c r="T69" s="128"/>
    </row>
    <row r="70" spans="1:20" x14ac:dyDescent="0.3">
      <c r="A70"/>
      <c r="B70" s="127">
        <v>21</v>
      </c>
      <c r="C70" s="128"/>
      <c r="D70" s="128"/>
      <c r="E70" s="128"/>
      <c r="F70" s="128"/>
      <c r="G70" s="128"/>
      <c r="H70" s="128"/>
      <c r="I70" s="128"/>
      <c r="J70" s="128"/>
      <c r="K70" s="128"/>
      <c r="L70" s="128"/>
      <c r="M70" s="128"/>
      <c r="N70" s="128"/>
      <c r="O70" s="128"/>
      <c r="P70" s="128"/>
      <c r="Q70" s="128"/>
      <c r="R70" s="128"/>
      <c r="S70" s="128"/>
      <c r="T70" s="128"/>
    </row>
    <row r="71" spans="1:20" x14ac:dyDescent="0.3">
      <c r="A71"/>
      <c r="B71" s="127">
        <v>22</v>
      </c>
      <c r="C71" s="128"/>
      <c r="D71" s="128"/>
      <c r="E71" s="128"/>
      <c r="F71" s="128"/>
      <c r="G71" s="128"/>
      <c r="H71" s="128"/>
      <c r="I71" s="128"/>
      <c r="J71" s="128"/>
      <c r="K71" s="128"/>
      <c r="L71" s="128"/>
      <c r="M71" s="128"/>
      <c r="N71" s="128"/>
      <c r="O71" s="128"/>
      <c r="P71" s="128"/>
      <c r="Q71" s="128"/>
      <c r="R71" s="128"/>
      <c r="S71" s="128"/>
      <c r="T71" s="128"/>
    </row>
    <row r="72" spans="1:20" x14ac:dyDescent="0.3">
      <c r="A72"/>
      <c r="B72" s="127">
        <v>23</v>
      </c>
      <c r="C72" s="128"/>
      <c r="D72" s="128"/>
      <c r="E72" s="128"/>
      <c r="F72" s="128"/>
      <c r="G72" s="128"/>
      <c r="H72" s="128"/>
      <c r="I72" s="128"/>
      <c r="J72" s="128"/>
      <c r="K72" s="128"/>
      <c r="L72" s="128"/>
      <c r="M72" s="128"/>
      <c r="N72" s="128"/>
      <c r="O72" s="128"/>
      <c r="P72" s="128"/>
      <c r="Q72" s="128"/>
      <c r="R72" s="128"/>
      <c r="S72" s="128"/>
      <c r="T72" s="128"/>
    </row>
    <row r="73" spans="1:20" x14ac:dyDescent="0.3">
      <c r="A73"/>
      <c r="B73" s="127">
        <v>24</v>
      </c>
      <c r="C73" s="128"/>
      <c r="D73" s="128"/>
      <c r="E73" s="128"/>
      <c r="F73" s="128"/>
      <c r="G73" s="128"/>
      <c r="H73" s="128"/>
      <c r="I73" s="128"/>
      <c r="J73" s="128"/>
      <c r="K73" s="128"/>
      <c r="L73" s="128"/>
      <c r="M73" s="128"/>
      <c r="N73" s="128"/>
      <c r="O73" s="128"/>
      <c r="P73" s="128"/>
      <c r="Q73" s="128"/>
      <c r="R73" s="128"/>
      <c r="S73" s="128"/>
      <c r="T73" s="128"/>
    </row>
    <row r="74" spans="1:20" x14ac:dyDescent="0.3">
      <c r="A74"/>
      <c r="B74" s="127">
        <v>25</v>
      </c>
      <c r="C74" s="128"/>
      <c r="D74" s="128"/>
      <c r="E74" s="128"/>
      <c r="F74" s="128"/>
      <c r="G74" s="128"/>
      <c r="H74" s="128"/>
      <c r="I74" s="128"/>
      <c r="J74" s="128"/>
      <c r="K74" s="128"/>
      <c r="L74" s="128"/>
      <c r="M74" s="128"/>
      <c r="N74" s="128"/>
      <c r="O74" s="128"/>
      <c r="P74" s="128"/>
      <c r="Q74" s="128"/>
      <c r="R74" s="128"/>
      <c r="S74" s="128"/>
      <c r="T74" s="128"/>
    </row>
    <row r="75" spans="1:20" x14ac:dyDescent="0.3">
      <c r="A75"/>
      <c r="B75" s="127">
        <v>26</v>
      </c>
      <c r="C75" s="128"/>
      <c r="D75" s="128"/>
      <c r="E75" s="128"/>
      <c r="F75" s="128"/>
      <c r="G75" s="128"/>
      <c r="H75" s="128"/>
      <c r="I75" s="128"/>
      <c r="J75" s="128"/>
      <c r="K75" s="128"/>
      <c r="L75" s="128"/>
      <c r="M75" s="128"/>
      <c r="N75" s="128"/>
      <c r="O75" s="128"/>
      <c r="P75" s="128"/>
      <c r="Q75" s="128"/>
      <c r="R75" s="128"/>
      <c r="S75" s="128"/>
      <c r="T75" s="128"/>
    </row>
    <row r="76" spans="1:20" x14ac:dyDescent="0.3">
      <c r="A76"/>
      <c r="B76" s="127">
        <v>27</v>
      </c>
      <c r="C76" s="128"/>
      <c r="D76" s="128"/>
      <c r="E76" s="128"/>
      <c r="F76" s="128"/>
      <c r="G76" s="128"/>
      <c r="H76" s="128"/>
      <c r="I76" s="128"/>
      <c r="J76" s="128"/>
      <c r="K76" s="128"/>
      <c r="L76" s="128"/>
      <c r="M76" s="128"/>
      <c r="N76" s="128"/>
      <c r="O76" s="128"/>
      <c r="P76" s="128"/>
      <c r="Q76" s="128"/>
      <c r="R76" s="128"/>
      <c r="S76" s="128"/>
      <c r="T76" s="128"/>
    </row>
    <row r="77" spans="1:20" x14ac:dyDescent="0.3">
      <c r="A77"/>
      <c r="B77" s="127">
        <v>28</v>
      </c>
      <c r="C77" s="128"/>
      <c r="D77" s="128"/>
      <c r="E77" s="128"/>
      <c r="F77" s="128"/>
      <c r="G77" s="128"/>
      <c r="H77" s="128"/>
      <c r="I77" s="128"/>
      <c r="J77" s="128"/>
      <c r="K77" s="128"/>
      <c r="L77" s="128"/>
      <c r="M77" s="128"/>
      <c r="N77" s="128"/>
      <c r="O77" s="128"/>
      <c r="P77" s="128"/>
      <c r="Q77" s="128"/>
      <c r="R77" s="128"/>
      <c r="S77" s="128"/>
      <c r="T77" s="128"/>
    </row>
    <row r="78" spans="1:20" x14ac:dyDescent="0.3">
      <c r="A78"/>
      <c r="B78" s="127">
        <v>29</v>
      </c>
      <c r="C78" s="128"/>
      <c r="D78" s="128"/>
      <c r="E78" s="128"/>
      <c r="F78" s="128"/>
      <c r="G78" s="128"/>
      <c r="H78" s="128"/>
      <c r="I78" s="128"/>
      <c r="J78" s="128"/>
      <c r="K78" s="128"/>
      <c r="L78" s="128"/>
      <c r="M78" s="128"/>
      <c r="N78" s="128"/>
      <c r="O78" s="128"/>
      <c r="P78" s="128"/>
      <c r="Q78" s="128"/>
      <c r="R78" s="128"/>
      <c r="S78" s="128"/>
      <c r="T78" s="128"/>
    </row>
    <row r="79" spans="1:20" x14ac:dyDescent="0.3">
      <c r="A79"/>
      <c r="B79" s="127">
        <v>30</v>
      </c>
      <c r="C79" s="128"/>
      <c r="D79" s="128"/>
      <c r="E79" s="128"/>
      <c r="F79" s="128"/>
      <c r="G79" s="128"/>
      <c r="H79" s="128"/>
      <c r="I79" s="128"/>
      <c r="J79" s="128"/>
      <c r="K79" s="128"/>
      <c r="L79" s="128"/>
      <c r="M79" s="128"/>
      <c r="N79" s="128"/>
      <c r="O79" s="128"/>
      <c r="P79" s="128"/>
      <c r="Q79" s="128"/>
      <c r="R79" s="128"/>
      <c r="S79" s="128"/>
      <c r="T79" s="128"/>
    </row>
    <row r="80" spans="1:20" ht="14.4" hidden="1" customHeight="1" x14ac:dyDescent="0.3">
      <c r="A80"/>
      <c r="B80" s="59" t="s">
        <v>84</v>
      </c>
      <c r="C80" s="60">
        <f>SUM(AggPresumptiveP2[Total Presumptive TB])</f>
        <v>0</v>
      </c>
      <c r="D80" s="60">
        <f>SUM(AggPresumptiveP2[Age 0-14])</f>
        <v>0</v>
      </c>
      <c r="E80" s="60">
        <f>SUM(AggPresumptiveP2[Age 15+ ])</f>
        <v>0</v>
      </c>
      <c r="F80" s="60">
        <f>SUM(AggPresumptiveP2[Number Specimens Collected])</f>
        <v>0</v>
      </c>
      <c r="G80" s="60">
        <f>SUBTOTAL(109,AggPresumptiveP2[Unable to Produce])</f>
        <v>0</v>
      </c>
      <c r="H80" s="60">
        <f>SUM(AggPresumptiveP2[HIV Positive])</f>
        <v>0</v>
      </c>
      <c r="I80" s="60">
        <f>SUM(AggPresumptiveP2[HIV Negative])</f>
        <v>0</v>
      </c>
      <c r="J80" s="60">
        <f>SUM(AggPresumptiveP2[Not Tested])</f>
        <v>0</v>
      </c>
      <c r="K80" s="60">
        <f>SUM(AggPresumptiveP2[AFB (-)])</f>
        <v>0</v>
      </c>
      <c r="L80" s="60">
        <f>SUM(AggPresumptiveP2[AFB (+)])</f>
        <v>0</v>
      </c>
      <c r="M80" s="60">
        <f>SUM(AggPresumptiveP2[MTB Not Detected
(N)])</f>
        <v>0</v>
      </c>
      <c r="N80" s="60">
        <f>SUM(AggPresumptiveP2[MTB Detected
(including trace), 
RIF Resistance not Detected
(T)])</f>
        <v>0</v>
      </c>
      <c r="O80" s="60">
        <f>SUM(AggPresumptiveP2[MTB Detected (including trace), 
RIF Resistance Detected
(RR)])</f>
        <v>0</v>
      </c>
      <c r="P80" s="60">
        <f>SUM(AggPresumptiveP2[MTB Detected (including trace), 
RIF Resistance Indeterminate
(TI)])</f>
        <v>0</v>
      </c>
      <c r="Q80" s="60">
        <f>SUM(AggPresumptiveP2[Invalid
No Result Error
(I)])</f>
        <v>0</v>
      </c>
      <c r="R80" s="60">
        <f>SUM(AggPresumptiveP2[LAM Positive])</f>
        <v>0</v>
      </c>
      <c r="S80" s="60">
        <f>SUM(AggPresumptiveP2[LAM Negative])</f>
        <v>0</v>
      </c>
      <c r="T80" s="60">
        <f>SUM(AggPresumptiveP2[Invalid])</f>
        <v>0</v>
      </c>
    </row>
    <row r="81" spans="1:22" x14ac:dyDescent="0.3">
      <c r="A81"/>
      <c r="B81" s="130" t="s">
        <v>84</v>
      </c>
      <c r="C81" s="49">
        <f>AggPresumptiveP2[[#Totals],[Total Presumptive TB]]</f>
        <v>0</v>
      </c>
      <c r="D81" s="49">
        <f>AggPresumptiveP2[[#Totals],[Age 0-14]]</f>
        <v>0</v>
      </c>
      <c r="E81" s="49">
        <f>AggPresumptiveP2[[#Totals],[Age 15+ ]]</f>
        <v>0</v>
      </c>
      <c r="F81" s="49">
        <f>AggPresumptiveP2[[#Totals],[Number Specimens Collected]]</f>
        <v>0</v>
      </c>
      <c r="G81" s="49">
        <f>AggPresumptiveP2[[#Totals],[Unable to Produce]]</f>
        <v>0</v>
      </c>
      <c r="H81" s="49">
        <f>AggPresumptiveP2[[#Totals],[HIV Positive]]</f>
        <v>0</v>
      </c>
      <c r="I81" s="49">
        <f>AggPresumptiveP2[[#Totals],[HIV Negative]]</f>
        <v>0</v>
      </c>
      <c r="J81" s="49">
        <f>AggPresumptiveP2[[#Totals],[Not Tested]]</f>
        <v>0</v>
      </c>
      <c r="K81" s="49">
        <f>AggPresumptiveP2[[#Totals],[AFB (-)]]</f>
        <v>0</v>
      </c>
      <c r="L81" s="49">
        <f>AggPresumptiveP2[[#Totals],[AFB (+)]]</f>
        <v>0</v>
      </c>
      <c r="M81" s="49">
        <f>AggPresumptiveP2[[#Totals],[MTB Not Detected
(N)]]</f>
        <v>0</v>
      </c>
      <c r="N81" s="49">
        <f>AggPresumptiveP2[[#Totals],[MTB Detected
(including trace), 
RIF Resistance not Detected
(T)]]</f>
        <v>0</v>
      </c>
      <c r="O81" s="49">
        <f>AggPresumptiveP2[[#Totals],[MTB Detected (including trace), 
RIF Resistance Detected
(RR)]]</f>
        <v>0</v>
      </c>
      <c r="P81" s="49">
        <f>AggPresumptiveP2[[#Totals],[MTB Detected (including trace), 
RIF Resistance Indeterminate
(TI)]]</f>
        <v>0</v>
      </c>
      <c r="Q81" s="49">
        <f>AggPresumptiveP2[[#Totals],[Invalid
No Result Error
(I)]]</f>
        <v>0</v>
      </c>
      <c r="R81" s="49">
        <f>AggPresumptiveP2[[#Totals],[LAM Positive]]</f>
        <v>0</v>
      </c>
      <c r="S81" s="49">
        <f>AggPresumptiveP2[[#Totals],[LAM Negative]]</f>
        <v>0</v>
      </c>
      <c r="T81" s="49">
        <f>AggPresumptiveP2[[#Totals],[Invalid]]</f>
        <v>0</v>
      </c>
      <c r="V81"/>
    </row>
    <row r="82" spans="1:22" x14ac:dyDescent="0.3">
      <c r="A82"/>
    </row>
    <row r="83" spans="1:22" x14ac:dyDescent="0.3">
      <c r="A83"/>
    </row>
    <row r="84" spans="1:22" ht="29.4" customHeight="1" x14ac:dyDescent="0.3">
      <c r="A84"/>
      <c r="B84" s="784" t="str">
        <f>IF('1. ASSESSMENT PROFILE'!D40&lt;&gt;"", '1. ASSESSMENT PROFILE'!D40,"")</f>
        <v/>
      </c>
      <c r="C84" s="784"/>
      <c r="D84" s="784"/>
      <c r="E84" s="784"/>
      <c r="F84" s="784"/>
      <c r="G84" s="784"/>
      <c r="H84" s="784"/>
      <c r="I84" s="784"/>
      <c r="J84" s="784"/>
      <c r="K84" s="784"/>
      <c r="L84" s="784"/>
      <c r="M84" s="784"/>
      <c r="N84" s="784"/>
      <c r="O84" s="784"/>
      <c r="P84" s="784"/>
      <c r="Q84" s="784"/>
      <c r="R84" s="784"/>
      <c r="S84" s="784"/>
      <c r="T84" s="784"/>
      <c r="U84"/>
    </row>
    <row r="85" spans="1:22" ht="28.8" x14ac:dyDescent="0.3">
      <c r="A85"/>
      <c r="B85" s="122"/>
      <c r="C85" s="123"/>
      <c r="D85" s="759" t="s">
        <v>14</v>
      </c>
      <c r="E85" s="760"/>
      <c r="F85" s="761" t="s">
        <v>89</v>
      </c>
      <c r="G85" s="762"/>
      <c r="H85" s="757" t="s">
        <v>57</v>
      </c>
      <c r="I85" s="758"/>
      <c r="J85" s="144" t="s">
        <v>58</v>
      </c>
      <c r="K85" s="769" t="s">
        <v>123</v>
      </c>
      <c r="L85" s="769"/>
      <c r="M85" s="769" t="s">
        <v>224</v>
      </c>
      <c r="N85" s="769"/>
      <c r="O85" s="769"/>
      <c r="P85" s="769"/>
      <c r="Q85" s="769"/>
      <c r="R85" s="769" t="s">
        <v>129</v>
      </c>
      <c r="S85" s="769"/>
      <c r="T85" s="769"/>
      <c r="U85"/>
      <c r="V85"/>
    </row>
    <row r="86" spans="1:22" ht="72" x14ac:dyDescent="0.3">
      <c r="A86"/>
      <c r="B86" s="125" t="s">
        <v>59</v>
      </c>
      <c r="C86" s="125" t="s">
        <v>111</v>
      </c>
      <c r="D86" s="125" t="s">
        <v>53</v>
      </c>
      <c r="E86" s="125" t="s">
        <v>54</v>
      </c>
      <c r="F86" s="125" t="s">
        <v>90</v>
      </c>
      <c r="G86" s="125" t="s">
        <v>246</v>
      </c>
      <c r="H86" s="144" t="s">
        <v>133</v>
      </c>
      <c r="I86" s="144" t="s">
        <v>134</v>
      </c>
      <c r="J86" s="125" t="s">
        <v>56</v>
      </c>
      <c r="K86" s="144" t="s">
        <v>6</v>
      </c>
      <c r="L86" s="144" t="s">
        <v>5</v>
      </c>
      <c r="M86" s="141" t="s">
        <v>122</v>
      </c>
      <c r="N86" s="141" t="s">
        <v>124</v>
      </c>
      <c r="O86" s="141" t="s">
        <v>125</v>
      </c>
      <c r="P86" s="141" t="s">
        <v>126</v>
      </c>
      <c r="Q86" s="141" t="s">
        <v>391</v>
      </c>
      <c r="R86" s="141" t="s">
        <v>130</v>
      </c>
      <c r="S86" s="141" t="s">
        <v>131</v>
      </c>
      <c r="T86" s="141" t="s">
        <v>132</v>
      </c>
    </row>
    <row r="87" spans="1:22" x14ac:dyDescent="0.3">
      <c r="A87"/>
      <c r="B87" s="127">
        <v>1</v>
      </c>
      <c r="C87" s="367"/>
      <c r="D87" s="128"/>
      <c r="E87" s="129"/>
      <c r="F87" s="128"/>
      <c r="G87" s="128"/>
      <c r="H87" s="128"/>
      <c r="I87" s="128"/>
      <c r="J87" s="128"/>
      <c r="K87" s="128"/>
      <c r="L87" s="128"/>
      <c r="M87" s="128"/>
      <c r="N87" s="128"/>
      <c r="O87" s="128"/>
      <c r="P87" s="128"/>
      <c r="Q87" s="128"/>
      <c r="R87" s="128"/>
      <c r="S87" s="128"/>
      <c r="T87" s="128"/>
    </row>
    <row r="88" spans="1:22" x14ac:dyDescent="0.3">
      <c r="A88"/>
      <c r="B88" s="127">
        <v>2</v>
      </c>
      <c r="C88" s="128"/>
      <c r="D88" s="128"/>
      <c r="E88" s="128"/>
      <c r="F88" s="128"/>
      <c r="G88" s="128"/>
      <c r="H88" s="128"/>
      <c r="I88" s="128"/>
      <c r="J88" s="128"/>
      <c r="K88" s="128"/>
      <c r="L88" s="128"/>
      <c r="M88" s="128"/>
      <c r="N88" s="128"/>
      <c r="O88" s="128"/>
      <c r="P88" s="128"/>
      <c r="Q88" s="128"/>
      <c r="R88" s="128"/>
      <c r="S88" s="128"/>
      <c r="T88" s="128"/>
    </row>
    <row r="89" spans="1:22" x14ac:dyDescent="0.3">
      <c r="A89"/>
      <c r="B89" s="127">
        <v>3</v>
      </c>
      <c r="C89" s="128"/>
      <c r="D89" s="128"/>
      <c r="E89" s="128"/>
      <c r="F89" s="128"/>
      <c r="G89" s="128"/>
      <c r="H89" s="128"/>
      <c r="I89" s="128"/>
      <c r="J89" s="128"/>
      <c r="K89" s="128"/>
      <c r="L89" s="128"/>
      <c r="M89" s="128"/>
      <c r="N89" s="128"/>
      <c r="O89" s="128"/>
      <c r="P89" s="128"/>
      <c r="Q89" s="128"/>
      <c r="R89" s="128"/>
      <c r="S89" s="128"/>
      <c r="T89" s="128"/>
    </row>
    <row r="90" spans="1:22" x14ac:dyDescent="0.3">
      <c r="A90"/>
      <c r="B90" s="127">
        <v>4</v>
      </c>
      <c r="C90" s="128"/>
      <c r="D90" s="128"/>
      <c r="E90" s="128"/>
      <c r="F90" s="128"/>
      <c r="G90" s="128"/>
      <c r="H90" s="128"/>
      <c r="I90" s="128"/>
      <c r="J90" s="128"/>
      <c r="K90" s="128"/>
      <c r="L90" s="128"/>
      <c r="M90" s="128"/>
      <c r="N90" s="128"/>
      <c r="O90" s="128"/>
      <c r="P90" s="128"/>
      <c r="Q90" s="128"/>
      <c r="R90" s="128"/>
      <c r="S90" s="128"/>
      <c r="T90" s="128"/>
    </row>
    <row r="91" spans="1:22" x14ac:dyDescent="0.3">
      <c r="A91"/>
      <c r="B91" s="127">
        <v>5</v>
      </c>
      <c r="C91" s="128"/>
      <c r="D91" s="128"/>
      <c r="E91" s="128"/>
      <c r="F91" s="128"/>
      <c r="G91" s="128"/>
      <c r="H91" s="128"/>
      <c r="I91" s="128"/>
      <c r="J91" s="128"/>
      <c r="K91" s="128"/>
      <c r="L91" s="128"/>
      <c r="M91" s="128"/>
      <c r="N91" s="128"/>
      <c r="O91" s="128"/>
      <c r="P91" s="128"/>
      <c r="Q91" s="128"/>
      <c r="R91" s="128"/>
      <c r="S91" s="128"/>
      <c r="T91" s="128"/>
    </row>
    <row r="92" spans="1:22" x14ac:dyDescent="0.3">
      <c r="A92"/>
      <c r="B92" s="127">
        <v>6</v>
      </c>
      <c r="C92" s="128"/>
      <c r="D92" s="128"/>
      <c r="E92" s="128"/>
      <c r="F92" s="128"/>
      <c r="G92" s="128"/>
      <c r="H92" s="128"/>
      <c r="I92" s="128"/>
      <c r="J92" s="128"/>
      <c r="K92" s="128"/>
      <c r="L92" s="128"/>
      <c r="M92" s="128"/>
      <c r="N92" s="128"/>
      <c r="O92" s="128"/>
      <c r="P92" s="128"/>
      <c r="Q92" s="128"/>
      <c r="R92" s="128"/>
      <c r="S92" s="128"/>
      <c r="T92" s="128"/>
    </row>
    <row r="93" spans="1:22" x14ac:dyDescent="0.3">
      <c r="A93"/>
      <c r="B93" s="127">
        <v>7</v>
      </c>
      <c r="C93" s="128"/>
      <c r="D93" s="128"/>
      <c r="E93" s="128"/>
      <c r="F93" s="128"/>
      <c r="G93" s="128"/>
      <c r="H93" s="128"/>
      <c r="I93" s="128"/>
      <c r="J93" s="128"/>
      <c r="K93" s="128"/>
      <c r="L93" s="128"/>
      <c r="M93" s="128"/>
      <c r="N93" s="128"/>
      <c r="O93" s="128"/>
      <c r="P93" s="128"/>
      <c r="Q93" s="128"/>
      <c r="R93" s="128"/>
      <c r="S93" s="128"/>
      <c r="T93" s="128"/>
    </row>
    <row r="94" spans="1:22" x14ac:dyDescent="0.3">
      <c r="A94"/>
      <c r="B94" s="127">
        <v>8</v>
      </c>
      <c r="C94" s="128"/>
      <c r="D94" s="128"/>
      <c r="E94" s="128"/>
      <c r="F94" s="128"/>
      <c r="G94" s="128"/>
      <c r="H94" s="128"/>
      <c r="I94" s="128"/>
      <c r="J94" s="128"/>
      <c r="K94" s="128"/>
      <c r="L94" s="128"/>
      <c r="M94" s="128"/>
      <c r="N94" s="128"/>
      <c r="O94" s="128"/>
      <c r="P94" s="128"/>
      <c r="Q94" s="128"/>
      <c r="R94" s="128"/>
      <c r="S94" s="128"/>
      <c r="T94" s="128"/>
    </row>
    <row r="95" spans="1:22" x14ac:dyDescent="0.3">
      <c r="A95"/>
      <c r="B95" s="127">
        <v>9</v>
      </c>
      <c r="C95" s="128"/>
      <c r="D95" s="128"/>
      <c r="E95" s="128"/>
      <c r="F95" s="128"/>
      <c r="G95" s="128"/>
      <c r="H95" s="128"/>
      <c r="I95" s="128"/>
      <c r="J95" s="128"/>
      <c r="K95" s="128"/>
      <c r="L95" s="128"/>
      <c r="M95" s="128"/>
      <c r="N95" s="128"/>
      <c r="O95" s="128"/>
      <c r="P95" s="128"/>
      <c r="Q95" s="128"/>
      <c r="R95" s="128"/>
      <c r="S95" s="128"/>
      <c r="T95" s="128"/>
    </row>
    <row r="96" spans="1:22" x14ac:dyDescent="0.3">
      <c r="A96"/>
      <c r="B96" s="127">
        <v>10</v>
      </c>
      <c r="C96" s="128"/>
      <c r="D96" s="128"/>
      <c r="E96" s="128"/>
      <c r="F96" s="128"/>
      <c r="G96" s="128"/>
      <c r="H96" s="128"/>
      <c r="I96" s="128"/>
      <c r="J96" s="128"/>
      <c r="K96" s="128"/>
      <c r="L96" s="128"/>
      <c r="M96" s="128"/>
      <c r="N96" s="128"/>
      <c r="O96" s="128"/>
      <c r="P96" s="128"/>
      <c r="Q96" s="128"/>
      <c r="R96" s="128"/>
      <c r="S96" s="128"/>
      <c r="T96" s="128"/>
    </row>
    <row r="97" spans="1:20" x14ac:dyDescent="0.3">
      <c r="A97"/>
      <c r="B97" s="127">
        <v>11</v>
      </c>
      <c r="C97" s="128"/>
      <c r="D97" s="128"/>
      <c r="E97" s="128"/>
      <c r="F97" s="128"/>
      <c r="G97" s="128"/>
      <c r="H97" s="128"/>
      <c r="I97" s="128"/>
      <c r="J97" s="128"/>
      <c r="K97" s="128"/>
      <c r="L97" s="128"/>
      <c r="M97" s="128"/>
      <c r="N97" s="128"/>
      <c r="O97" s="128"/>
      <c r="P97" s="128"/>
      <c r="Q97" s="128"/>
      <c r="R97" s="128"/>
      <c r="S97" s="128"/>
      <c r="T97" s="128"/>
    </row>
    <row r="98" spans="1:20" x14ac:dyDescent="0.3">
      <c r="A98"/>
      <c r="B98" s="127">
        <v>12</v>
      </c>
      <c r="C98" s="128"/>
      <c r="D98" s="128"/>
      <c r="E98" s="128"/>
      <c r="F98" s="128"/>
      <c r="G98" s="128"/>
      <c r="H98" s="128"/>
      <c r="I98" s="128"/>
      <c r="J98" s="128"/>
      <c r="K98" s="128"/>
      <c r="L98" s="128"/>
      <c r="M98" s="128"/>
      <c r="N98" s="128"/>
      <c r="O98" s="128"/>
      <c r="P98" s="128"/>
      <c r="Q98" s="128"/>
      <c r="R98" s="128"/>
      <c r="S98" s="128"/>
      <c r="T98" s="128"/>
    </row>
    <row r="99" spans="1:20" x14ac:dyDescent="0.3">
      <c r="A99"/>
      <c r="B99" s="127">
        <v>13</v>
      </c>
      <c r="C99" s="128"/>
      <c r="D99" s="128"/>
      <c r="E99" s="128"/>
      <c r="F99" s="128"/>
      <c r="G99" s="128"/>
      <c r="H99" s="128"/>
      <c r="I99" s="128"/>
      <c r="J99" s="128"/>
      <c r="K99" s="128"/>
      <c r="L99" s="128"/>
      <c r="M99" s="128"/>
      <c r="N99" s="128"/>
      <c r="O99" s="128"/>
      <c r="P99" s="128"/>
      <c r="Q99" s="128"/>
      <c r="R99" s="128"/>
      <c r="S99" s="128"/>
      <c r="T99" s="128"/>
    </row>
    <row r="100" spans="1:20" x14ac:dyDescent="0.3">
      <c r="A100"/>
      <c r="B100" s="127">
        <v>14</v>
      </c>
      <c r="C100" s="128"/>
      <c r="D100" s="128"/>
      <c r="E100" s="128"/>
      <c r="F100" s="128"/>
      <c r="G100" s="128"/>
      <c r="H100" s="128"/>
      <c r="I100" s="128"/>
      <c r="J100" s="128"/>
      <c r="K100" s="128"/>
      <c r="L100" s="128"/>
      <c r="M100" s="128"/>
      <c r="N100" s="128"/>
      <c r="O100" s="128"/>
      <c r="P100" s="128"/>
      <c r="Q100" s="128"/>
      <c r="R100" s="128"/>
      <c r="S100" s="128"/>
      <c r="T100" s="128"/>
    </row>
    <row r="101" spans="1:20" x14ac:dyDescent="0.3">
      <c r="A101"/>
      <c r="B101" s="127">
        <v>15</v>
      </c>
      <c r="C101" s="128"/>
      <c r="D101" s="128"/>
      <c r="E101" s="128"/>
      <c r="F101" s="128"/>
      <c r="G101" s="128"/>
      <c r="H101" s="128"/>
      <c r="I101" s="128"/>
      <c r="J101" s="128"/>
      <c r="K101" s="128"/>
      <c r="L101" s="128"/>
      <c r="M101" s="128"/>
      <c r="N101" s="128"/>
      <c r="O101" s="128"/>
      <c r="P101" s="128"/>
      <c r="Q101" s="128"/>
      <c r="R101" s="128"/>
      <c r="S101" s="128"/>
      <c r="T101" s="128"/>
    </row>
    <row r="102" spans="1:20" x14ac:dyDescent="0.3">
      <c r="A102"/>
      <c r="B102" s="127">
        <v>16</v>
      </c>
      <c r="C102" s="128"/>
      <c r="D102" s="128"/>
      <c r="E102" s="128"/>
      <c r="F102" s="128"/>
      <c r="G102" s="128"/>
      <c r="H102" s="128"/>
      <c r="I102" s="128"/>
      <c r="J102" s="128"/>
      <c r="K102" s="128"/>
      <c r="L102" s="128"/>
      <c r="M102" s="128"/>
      <c r="N102" s="128"/>
      <c r="O102" s="128"/>
      <c r="P102" s="128"/>
      <c r="Q102" s="128"/>
      <c r="R102" s="128"/>
      <c r="S102" s="128"/>
      <c r="T102" s="128"/>
    </row>
    <row r="103" spans="1:20" x14ac:dyDescent="0.3">
      <c r="A103"/>
      <c r="B103" s="127">
        <v>17</v>
      </c>
      <c r="C103" s="128"/>
      <c r="D103" s="128"/>
      <c r="E103" s="128"/>
      <c r="F103" s="128"/>
      <c r="G103" s="128"/>
      <c r="H103" s="128"/>
      <c r="I103" s="128"/>
      <c r="J103" s="128"/>
      <c r="K103" s="128"/>
      <c r="L103" s="128"/>
      <c r="M103" s="128"/>
      <c r="N103" s="128"/>
      <c r="O103" s="128"/>
      <c r="P103" s="128"/>
      <c r="Q103" s="128"/>
      <c r="R103" s="128"/>
      <c r="S103" s="128"/>
      <c r="T103" s="128"/>
    </row>
    <row r="104" spans="1:20" x14ac:dyDescent="0.3">
      <c r="A104"/>
      <c r="B104" s="127">
        <v>18</v>
      </c>
      <c r="C104" s="128"/>
      <c r="D104" s="128"/>
      <c r="E104" s="128"/>
      <c r="F104" s="128"/>
      <c r="G104" s="128"/>
      <c r="H104" s="128"/>
      <c r="I104" s="128"/>
      <c r="J104" s="128"/>
      <c r="K104" s="128"/>
      <c r="L104" s="128"/>
      <c r="M104" s="128"/>
      <c r="N104" s="128"/>
      <c r="O104" s="128"/>
      <c r="P104" s="128"/>
      <c r="Q104" s="128"/>
      <c r="R104" s="128"/>
      <c r="S104" s="128"/>
      <c r="T104" s="128"/>
    </row>
    <row r="105" spans="1:20" x14ac:dyDescent="0.3">
      <c r="A105"/>
      <c r="B105" s="127">
        <v>19</v>
      </c>
      <c r="C105" s="128"/>
      <c r="D105" s="128"/>
      <c r="E105" s="128"/>
      <c r="F105" s="128"/>
      <c r="G105" s="128"/>
      <c r="H105" s="128"/>
      <c r="I105" s="128"/>
      <c r="J105" s="128"/>
      <c r="K105" s="128"/>
      <c r="L105" s="128"/>
      <c r="M105" s="128"/>
      <c r="N105" s="128"/>
      <c r="O105" s="128"/>
      <c r="P105" s="128"/>
      <c r="Q105" s="128"/>
      <c r="R105" s="128"/>
      <c r="S105" s="128"/>
      <c r="T105" s="128"/>
    </row>
    <row r="106" spans="1:20" x14ac:dyDescent="0.3">
      <c r="A106"/>
      <c r="B106" s="127">
        <v>20</v>
      </c>
      <c r="C106" s="128"/>
      <c r="D106" s="128"/>
      <c r="E106" s="128"/>
      <c r="F106" s="128"/>
      <c r="G106" s="128"/>
      <c r="H106" s="128"/>
      <c r="I106" s="128"/>
      <c r="J106" s="128"/>
      <c r="K106" s="128"/>
      <c r="L106" s="128"/>
      <c r="M106" s="128"/>
      <c r="N106" s="128"/>
      <c r="O106" s="128"/>
      <c r="P106" s="128"/>
      <c r="Q106" s="128"/>
      <c r="R106" s="128"/>
      <c r="S106" s="128"/>
      <c r="T106" s="128"/>
    </row>
    <row r="107" spans="1:20" x14ac:dyDescent="0.3">
      <c r="A107"/>
      <c r="B107" s="127">
        <v>21</v>
      </c>
      <c r="C107" s="128"/>
      <c r="D107" s="128"/>
      <c r="E107" s="128"/>
      <c r="F107" s="128"/>
      <c r="G107" s="128"/>
      <c r="H107" s="128"/>
      <c r="I107" s="128"/>
      <c r="J107" s="128"/>
      <c r="K107" s="128"/>
      <c r="L107" s="128"/>
      <c r="M107" s="128"/>
      <c r="N107" s="128"/>
      <c r="O107" s="128"/>
      <c r="P107" s="128"/>
      <c r="Q107" s="128"/>
      <c r="R107" s="128"/>
      <c r="S107" s="128"/>
      <c r="T107" s="128"/>
    </row>
    <row r="108" spans="1:20" x14ac:dyDescent="0.3">
      <c r="A108"/>
      <c r="B108" s="127">
        <v>22</v>
      </c>
      <c r="C108" s="128"/>
      <c r="D108" s="128"/>
      <c r="E108" s="128"/>
      <c r="F108" s="128"/>
      <c r="G108" s="128"/>
      <c r="H108" s="128"/>
      <c r="I108" s="128"/>
      <c r="J108" s="128"/>
      <c r="K108" s="128"/>
      <c r="L108" s="128"/>
      <c r="M108" s="128"/>
      <c r="N108" s="128"/>
      <c r="O108" s="128"/>
      <c r="P108" s="128"/>
      <c r="Q108" s="128"/>
      <c r="R108" s="128"/>
      <c r="S108" s="128"/>
      <c r="T108" s="128"/>
    </row>
    <row r="109" spans="1:20" x14ac:dyDescent="0.3">
      <c r="A109"/>
      <c r="B109" s="127">
        <v>23</v>
      </c>
      <c r="C109" s="128"/>
      <c r="D109" s="128"/>
      <c r="E109" s="128"/>
      <c r="F109" s="128"/>
      <c r="G109" s="128"/>
      <c r="H109" s="128"/>
      <c r="I109" s="128"/>
      <c r="J109" s="128"/>
      <c r="K109" s="128"/>
      <c r="L109" s="128"/>
      <c r="M109" s="128"/>
      <c r="N109" s="128"/>
      <c r="O109" s="128"/>
      <c r="P109" s="128"/>
      <c r="Q109" s="128"/>
      <c r="R109" s="128"/>
      <c r="S109" s="128"/>
      <c r="T109" s="128"/>
    </row>
    <row r="110" spans="1:20" x14ac:dyDescent="0.3">
      <c r="A110"/>
      <c r="B110" s="127">
        <v>24</v>
      </c>
      <c r="C110" s="128"/>
      <c r="D110" s="128"/>
      <c r="E110" s="128"/>
      <c r="F110" s="128"/>
      <c r="G110" s="128"/>
      <c r="H110" s="128"/>
      <c r="I110" s="128"/>
      <c r="J110" s="128"/>
      <c r="K110" s="128"/>
      <c r="L110" s="128"/>
      <c r="M110" s="128"/>
      <c r="N110" s="128"/>
      <c r="O110" s="128"/>
      <c r="P110" s="128"/>
      <c r="Q110" s="128"/>
      <c r="R110" s="128"/>
      <c r="S110" s="128"/>
      <c r="T110" s="128"/>
    </row>
    <row r="111" spans="1:20" x14ac:dyDescent="0.3">
      <c r="A111"/>
      <c r="B111" s="127">
        <v>25</v>
      </c>
      <c r="C111" s="128"/>
      <c r="D111" s="128"/>
      <c r="E111" s="128"/>
      <c r="F111" s="128"/>
      <c r="G111" s="128"/>
      <c r="H111" s="128"/>
      <c r="I111" s="128"/>
      <c r="J111" s="128"/>
      <c r="K111" s="128"/>
      <c r="L111" s="128"/>
      <c r="M111" s="128"/>
      <c r="N111" s="128"/>
      <c r="O111" s="128"/>
      <c r="P111" s="128"/>
      <c r="Q111" s="128"/>
      <c r="R111" s="128"/>
      <c r="S111" s="128"/>
      <c r="T111" s="128"/>
    </row>
    <row r="112" spans="1:20" x14ac:dyDescent="0.3">
      <c r="A112"/>
      <c r="B112" s="127">
        <v>26</v>
      </c>
      <c r="C112" s="128"/>
      <c r="D112" s="128"/>
      <c r="E112" s="128"/>
      <c r="F112" s="128"/>
      <c r="G112" s="128"/>
      <c r="H112" s="128"/>
      <c r="I112" s="128"/>
      <c r="J112" s="128"/>
      <c r="K112" s="128"/>
      <c r="L112" s="128"/>
      <c r="M112" s="128"/>
      <c r="N112" s="128"/>
      <c r="O112" s="128"/>
      <c r="P112" s="128"/>
      <c r="Q112" s="128"/>
      <c r="R112" s="128"/>
      <c r="S112" s="128"/>
      <c r="T112" s="128"/>
    </row>
    <row r="113" spans="1:22" x14ac:dyDescent="0.3">
      <c r="A113"/>
      <c r="B113" s="127">
        <v>27</v>
      </c>
      <c r="C113" s="128"/>
      <c r="D113" s="128"/>
      <c r="E113" s="128"/>
      <c r="F113" s="128"/>
      <c r="G113" s="128"/>
      <c r="H113" s="128"/>
      <c r="I113" s="128"/>
      <c r="J113" s="128"/>
      <c r="K113" s="128"/>
      <c r="L113" s="128"/>
      <c r="M113" s="128"/>
      <c r="N113" s="128"/>
      <c r="O113" s="128"/>
      <c r="P113" s="128"/>
      <c r="Q113" s="128"/>
      <c r="R113" s="128"/>
      <c r="S113" s="128"/>
      <c r="T113" s="128"/>
    </row>
    <row r="114" spans="1:22" x14ac:dyDescent="0.3">
      <c r="A114"/>
      <c r="B114" s="127">
        <v>28</v>
      </c>
      <c r="C114" s="128"/>
      <c r="D114" s="128"/>
      <c r="E114" s="128"/>
      <c r="F114" s="128"/>
      <c r="G114" s="128"/>
      <c r="H114" s="128"/>
      <c r="I114" s="128"/>
      <c r="J114" s="128"/>
      <c r="K114" s="128"/>
      <c r="L114" s="128"/>
      <c r="M114" s="128"/>
      <c r="N114" s="128"/>
      <c r="O114" s="128"/>
      <c r="P114" s="128"/>
      <c r="Q114" s="128"/>
      <c r="R114" s="128"/>
      <c r="S114" s="128"/>
      <c r="T114" s="128"/>
    </row>
    <row r="115" spans="1:22" x14ac:dyDescent="0.3">
      <c r="A115"/>
      <c r="B115" s="127">
        <v>29</v>
      </c>
      <c r="C115" s="128"/>
      <c r="D115" s="128"/>
      <c r="E115" s="128"/>
      <c r="F115" s="128"/>
      <c r="G115" s="128"/>
      <c r="H115" s="128"/>
      <c r="I115" s="128"/>
      <c r="J115" s="128"/>
      <c r="K115" s="128"/>
      <c r="L115" s="128"/>
      <c r="M115" s="128"/>
      <c r="N115" s="128"/>
      <c r="O115" s="128"/>
      <c r="P115" s="128"/>
      <c r="Q115" s="128"/>
      <c r="R115" s="128"/>
      <c r="S115" s="128"/>
      <c r="T115" s="128"/>
    </row>
    <row r="116" spans="1:22" x14ac:dyDescent="0.3">
      <c r="A116"/>
      <c r="B116" s="127">
        <v>30</v>
      </c>
      <c r="C116" s="128"/>
      <c r="D116" s="128"/>
      <c r="E116" s="128"/>
      <c r="F116" s="128"/>
      <c r="G116" s="128"/>
      <c r="H116" s="128"/>
      <c r="I116" s="128"/>
      <c r="J116" s="128"/>
      <c r="K116" s="128"/>
      <c r="L116" s="128"/>
      <c r="M116" s="128"/>
      <c r="N116" s="128"/>
      <c r="O116" s="128"/>
      <c r="P116" s="128"/>
      <c r="Q116" s="128"/>
      <c r="R116" s="128"/>
      <c r="S116" s="128"/>
      <c r="T116" s="128"/>
    </row>
    <row r="117" spans="1:22" ht="14.4" hidden="1" customHeight="1" x14ac:dyDescent="0.3">
      <c r="A117"/>
      <c r="B117" s="59" t="s">
        <v>84</v>
      </c>
      <c r="C117" s="60">
        <f>SUM(AggPresumptiveP3[Total Presumptive TB])</f>
        <v>0</v>
      </c>
      <c r="D117" s="60">
        <f>SUM(AggPresumptiveP3[Age 0-14])</f>
        <v>0</v>
      </c>
      <c r="E117" s="60">
        <f>SUM(AggPresumptiveP3[Age 15+ ])</f>
        <v>0</v>
      </c>
      <c r="F117" s="60">
        <f>SUM(AggPresumptiveP3[Number Specimens Collected])</f>
        <v>0</v>
      </c>
      <c r="G117" s="60">
        <f>SUBTOTAL(109,AggPresumptiveP3[Unable to Produce])</f>
        <v>0</v>
      </c>
      <c r="H117" s="60">
        <f>SUM(AggPresumptiveP3[HIV Positive])</f>
        <v>0</v>
      </c>
      <c r="I117" s="60">
        <f>SUM(AggPresumptiveP3[HIV Negative])</f>
        <v>0</v>
      </c>
      <c r="J117" s="60">
        <f>SUM(AggPresumptiveP3[Not Tested])</f>
        <v>0</v>
      </c>
      <c r="K117" s="60">
        <f>SUM(AggPresumptiveP3[AFB (-)])</f>
        <v>0</v>
      </c>
      <c r="L117" s="60">
        <f>SUM(AggPresumptiveP3[AFB (+)])</f>
        <v>0</v>
      </c>
      <c r="M117" s="60">
        <f>SUM(AggPresumptiveP3[MTB Not Detected
(N)])</f>
        <v>0</v>
      </c>
      <c r="N117" s="60">
        <f>SUM(AggPresumptiveP3[MTB Detected
(including trace), 
RIF Resistance not Detected
(T)])</f>
        <v>0</v>
      </c>
      <c r="O117" s="60">
        <f>SUM(AggPresumptiveP3[MTB Detected (including trace), 
RIF Resistance Detected
(RR)])</f>
        <v>0</v>
      </c>
      <c r="P117" s="60">
        <f>SUM(AggPresumptiveP3[MTB Detected (including trace), 
RIF Resistance Indeterminate
(TI)])</f>
        <v>0</v>
      </c>
      <c r="Q117" s="60">
        <f>SUM(AggPresumptiveP3[Invalid
No Result Error
(I)])</f>
        <v>0</v>
      </c>
      <c r="R117" s="60">
        <f>SUM(AggPresumptiveP3[LAM Positive])</f>
        <v>0</v>
      </c>
      <c r="S117" s="60">
        <f>SUM(AggPresumptiveP3[LAM Negative])</f>
        <v>0</v>
      </c>
      <c r="T117" s="60">
        <f>SUM(AggPresumptiveP3[Invalid])</f>
        <v>0</v>
      </c>
    </row>
    <row r="118" spans="1:22" x14ac:dyDescent="0.3">
      <c r="A118"/>
      <c r="B118" s="130" t="s">
        <v>84</v>
      </c>
      <c r="C118" s="49">
        <f>AggPresumptiveP3[[#Totals],[Total Presumptive TB]]</f>
        <v>0</v>
      </c>
      <c r="D118" s="49">
        <f>AggPresumptiveP3[[#Totals],[Age 0-14]]</f>
        <v>0</v>
      </c>
      <c r="E118" s="49">
        <f>AggPresumptiveP3[[#Totals],[Age 15+ ]]</f>
        <v>0</v>
      </c>
      <c r="F118" s="49">
        <f>AggPresumptiveP3[[#Totals],[Number Specimens Collected]]</f>
        <v>0</v>
      </c>
      <c r="G118" s="49">
        <f>AggPresumptiveP3[[#Totals],[Unable to Produce]]</f>
        <v>0</v>
      </c>
      <c r="H118" s="49">
        <f>AggPresumptiveP3[[#Totals],[HIV Positive]]</f>
        <v>0</v>
      </c>
      <c r="I118" s="49">
        <f>AggPresumptiveP3[[#Totals],[HIV Negative]]</f>
        <v>0</v>
      </c>
      <c r="J118" s="49">
        <f>AggPresumptiveP3[[#Totals],[Not Tested]]</f>
        <v>0</v>
      </c>
      <c r="K118" s="49">
        <f>AggPresumptiveP3[[#Totals],[AFB (-)]]</f>
        <v>0</v>
      </c>
      <c r="L118" s="49">
        <f>AggPresumptiveP3[[#Totals],[AFB (+)]]</f>
        <v>0</v>
      </c>
      <c r="M118" s="49">
        <f>AggPresumptiveP3[[#Totals],[MTB Not Detected
(N)]]</f>
        <v>0</v>
      </c>
      <c r="N118" s="49">
        <f>AggPresumptiveP3[[#Totals],[MTB Detected
(including trace), 
RIF Resistance not Detected
(T)]]</f>
        <v>0</v>
      </c>
      <c r="O118" s="49">
        <f>AggPresumptiveP3[[#Totals],[MTB Detected (including trace), 
RIF Resistance Detected
(RR)]]</f>
        <v>0</v>
      </c>
      <c r="P118" s="49">
        <f>AggPresumptiveP3[[#Totals],[MTB Detected (including trace), 
RIF Resistance Indeterminate
(TI)]]</f>
        <v>0</v>
      </c>
      <c r="Q118" s="49">
        <f>AggPresumptiveP3[[#Totals],[Invalid
No Result Error
(I)]]</f>
        <v>0</v>
      </c>
      <c r="R118" s="49">
        <f>AggPresumptiveP3[[#Totals],[LAM Positive]]</f>
        <v>0</v>
      </c>
      <c r="S118" s="49">
        <f>AggPresumptiveP3[[#Totals],[LAM Negative]]</f>
        <v>0</v>
      </c>
      <c r="T118" s="49">
        <f>AggPresumptiveP3[[#Totals],[Invalid]]</f>
        <v>0</v>
      </c>
      <c r="V118"/>
    </row>
    <row r="119" spans="1:22" x14ac:dyDescent="0.3">
      <c r="A119"/>
    </row>
    <row r="120" spans="1:22" x14ac:dyDescent="0.3">
      <c r="A120"/>
    </row>
    <row r="121" spans="1:22" ht="26.4" customHeight="1" x14ac:dyDescent="0.3">
      <c r="A121"/>
      <c r="B121" s="787" t="str">
        <f>IF('1. ASSESSMENT PROFILE'!D41&lt;&gt;"", '1. ASSESSMENT PROFILE'!D41,"")</f>
        <v/>
      </c>
      <c r="C121" s="787"/>
      <c r="D121" s="787"/>
      <c r="E121" s="787"/>
      <c r="F121" s="787"/>
      <c r="G121" s="787"/>
      <c r="H121" s="787"/>
      <c r="I121" s="787"/>
      <c r="J121" s="787"/>
      <c r="K121" s="787"/>
      <c r="L121" s="787"/>
      <c r="M121" s="787"/>
      <c r="N121" s="787"/>
      <c r="O121" s="787"/>
      <c r="P121" s="787"/>
      <c r="Q121" s="787"/>
      <c r="R121" s="787"/>
      <c r="S121" s="787"/>
      <c r="T121" s="787"/>
    </row>
    <row r="122" spans="1:22" ht="28.8" x14ac:dyDescent="0.3">
      <c r="A122"/>
      <c r="B122" s="122"/>
      <c r="C122" s="123"/>
      <c r="D122" s="759" t="s">
        <v>14</v>
      </c>
      <c r="E122" s="760"/>
      <c r="F122" s="761" t="s">
        <v>89</v>
      </c>
      <c r="G122" s="762"/>
      <c r="H122" s="757" t="s">
        <v>57</v>
      </c>
      <c r="I122" s="758"/>
      <c r="J122" s="427" t="s">
        <v>58</v>
      </c>
      <c r="K122" s="769" t="s">
        <v>123</v>
      </c>
      <c r="L122" s="769"/>
      <c r="M122" s="769" t="s">
        <v>224</v>
      </c>
      <c r="N122" s="769"/>
      <c r="O122" s="769"/>
      <c r="P122" s="769"/>
      <c r="Q122" s="769"/>
      <c r="R122" s="769" t="s">
        <v>129</v>
      </c>
      <c r="S122" s="769"/>
      <c r="T122" s="769"/>
    </row>
    <row r="123" spans="1:22" ht="81.599999999999994" customHeight="1" x14ac:dyDescent="0.3">
      <c r="A123"/>
      <c r="B123" s="125" t="s">
        <v>59</v>
      </c>
      <c r="C123" s="125" t="s">
        <v>111</v>
      </c>
      <c r="D123" s="125" t="s">
        <v>53</v>
      </c>
      <c r="E123" s="125" t="s">
        <v>54</v>
      </c>
      <c r="F123" s="125" t="s">
        <v>90</v>
      </c>
      <c r="G123" s="125" t="s">
        <v>246</v>
      </c>
      <c r="H123" s="427" t="s">
        <v>133</v>
      </c>
      <c r="I123" s="427" t="s">
        <v>134</v>
      </c>
      <c r="J123" s="125" t="s">
        <v>56</v>
      </c>
      <c r="K123" s="427" t="s">
        <v>6</v>
      </c>
      <c r="L123" s="427" t="s">
        <v>5</v>
      </c>
      <c r="M123" s="141" t="s">
        <v>122</v>
      </c>
      <c r="N123" s="141" t="s">
        <v>124</v>
      </c>
      <c r="O123" s="141" t="s">
        <v>125</v>
      </c>
      <c r="P123" s="141" t="s">
        <v>126</v>
      </c>
      <c r="Q123" s="141" t="s">
        <v>391</v>
      </c>
      <c r="R123" s="141" t="s">
        <v>130</v>
      </c>
      <c r="S123" s="141" t="s">
        <v>131</v>
      </c>
      <c r="T123" s="141" t="s">
        <v>132</v>
      </c>
    </row>
    <row r="124" spans="1:22" x14ac:dyDescent="0.3">
      <c r="A124"/>
      <c r="B124" s="127">
        <v>1</v>
      </c>
      <c r="C124" s="367"/>
      <c r="D124" s="128"/>
      <c r="E124" s="129"/>
      <c r="F124" s="128"/>
      <c r="G124" s="128"/>
      <c r="H124" s="128"/>
      <c r="I124" s="128"/>
      <c r="J124" s="128"/>
      <c r="K124" s="128"/>
      <c r="L124" s="128"/>
      <c r="M124" s="128"/>
      <c r="N124" s="128"/>
      <c r="O124" s="128"/>
      <c r="P124" s="128"/>
      <c r="Q124" s="128"/>
      <c r="R124" s="128"/>
      <c r="S124" s="128"/>
      <c r="T124" s="128"/>
    </row>
    <row r="125" spans="1:22" x14ac:dyDescent="0.3">
      <c r="A125"/>
      <c r="B125" s="127">
        <v>2</v>
      </c>
      <c r="C125" s="128"/>
      <c r="D125" s="128"/>
      <c r="E125" s="128"/>
      <c r="F125" s="128"/>
      <c r="G125" s="128"/>
      <c r="H125" s="128"/>
      <c r="I125" s="128"/>
      <c r="J125" s="128"/>
      <c r="K125" s="128"/>
      <c r="L125" s="128"/>
      <c r="M125" s="128"/>
      <c r="N125" s="128"/>
      <c r="O125" s="128"/>
      <c r="P125" s="128"/>
      <c r="Q125" s="128"/>
      <c r="R125" s="128"/>
      <c r="S125" s="128"/>
      <c r="T125" s="128"/>
    </row>
    <row r="126" spans="1:22" x14ac:dyDescent="0.3">
      <c r="A126"/>
      <c r="B126" s="127">
        <v>3</v>
      </c>
      <c r="C126" s="128"/>
      <c r="D126" s="128"/>
      <c r="E126" s="128"/>
      <c r="F126" s="128"/>
      <c r="G126" s="128"/>
      <c r="H126" s="128"/>
      <c r="I126" s="128"/>
      <c r="J126" s="128"/>
      <c r="K126" s="128"/>
      <c r="L126" s="128"/>
      <c r="M126" s="128"/>
      <c r="N126" s="128"/>
      <c r="O126" s="128"/>
      <c r="P126" s="128"/>
      <c r="Q126" s="128"/>
      <c r="R126" s="128"/>
      <c r="S126" s="128"/>
      <c r="T126" s="128"/>
    </row>
    <row r="127" spans="1:22" x14ac:dyDescent="0.3">
      <c r="A127"/>
      <c r="B127" s="127">
        <v>4</v>
      </c>
      <c r="C127" s="128"/>
      <c r="D127" s="128"/>
      <c r="E127" s="128"/>
      <c r="F127" s="128"/>
      <c r="G127" s="128"/>
      <c r="H127" s="128"/>
      <c r="I127" s="128"/>
      <c r="J127" s="128"/>
      <c r="K127" s="128"/>
      <c r="L127" s="128"/>
      <c r="M127" s="128"/>
      <c r="N127" s="128"/>
      <c r="O127" s="128"/>
      <c r="P127" s="128"/>
      <c r="Q127" s="128"/>
      <c r="R127" s="128"/>
      <c r="S127" s="128"/>
      <c r="T127" s="128"/>
    </row>
    <row r="128" spans="1:22" x14ac:dyDescent="0.3">
      <c r="A128"/>
      <c r="B128" s="127">
        <v>5</v>
      </c>
      <c r="C128" s="128"/>
      <c r="D128" s="128"/>
      <c r="E128" s="128"/>
      <c r="F128" s="128"/>
      <c r="G128" s="128"/>
      <c r="H128" s="128"/>
      <c r="I128" s="128"/>
      <c r="J128" s="128"/>
      <c r="K128" s="128"/>
      <c r="L128" s="128"/>
      <c r="M128" s="128"/>
      <c r="N128" s="128"/>
      <c r="O128" s="128"/>
      <c r="P128" s="128"/>
      <c r="Q128" s="128"/>
      <c r="R128" s="128"/>
      <c r="S128" s="128"/>
      <c r="T128" s="128"/>
    </row>
    <row r="129" spans="1:20" x14ac:dyDescent="0.3">
      <c r="A129"/>
      <c r="B129" s="127">
        <v>6</v>
      </c>
      <c r="C129" s="128"/>
      <c r="D129" s="128"/>
      <c r="E129" s="128"/>
      <c r="F129" s="128"/>
      <c r="G129" s="128"/>
      <c r="H129" s="128"/>
      <c r="I129" s="128"/>
      <c r="J129" s="128"/>
      <c r="K129" s="128"/>
      <c r="L129" s="128"/>
      <c r="M129" s="128"/>
      <c r="N129" s="128"/>
      <c r="O129" s="128"/>
      <c r="P129" s="128"/>
      <c r="Q129" s="128"/>
      <c r="R129" s="128"/>
      <c r="S129" s="128"/>
      <c r="T129" s="128"/>
    </row>
    <row r="130" spans="1:20" x14ac:dyDescent="0.3">
      <c r="A130"/>
      <c r="B130" s="127">
        <v>7</v>
      </c>
      <c r="C130" s="128"/>
      <c r="D130" s="128"/>
      <c r="E130" s="128"/>
      <c r="F130" s="128"/>
      <c r="G130" s="128"/>
      <c r="H130" s="128"/>
      <c r="I130" s="128"/>
      <c r="J130" s="128"/>
      <c r="K130" s="128"/>
      <c r="L130" s="128"/>
      <c r="M130" s="128"/>
      <c r="N130" s="128"/>
      <c r="O130" s="128"/>
      <c r="P130" s="128"/>
      <c r="Q130" s="128"/>
      <c r="R130" s="128"/>
      <c r="S130" s="128"/>
      <c r="T130" s="128"/>
    </row>
    <row r="131" spans="1:20" x14ac:dyDescent="0.3">
      <c r="A131"/>
      <c r="B131" s="127">
        <v>8</v>
      </c>
      <c r="C131" s="128"/>
      <c r="D131" s="128"/>
      <c r="E131" s="128"/>
      <c r="F131" s="128"/>
      <c r="G131" s="128"/>
      <c r="H131" s="128"/>
      <c r="I131" s="128"/>
      <c r="J131" s="128"/>
      <c r="K131" s="128"/>
      <c r="L131" s="128"/>
      <c r="M131" s="128"/>
      <c r="N131" s="128"/>
      <c r="O131" s="128"/>
      <c r="P131" s="128"/>
      <c r="Q131" s="128"/>
      <c r="R131" s="128"/>
      <c r="S131" s="128"/>
      <c r="T131" s="128"/>
    </row>
    <row r="132" spans="1:20" x14ac:dyDescent="0.3">
      <c r="A132"/>
      <c r="B132" s="127">
        <v>9</v>
      </c>
      <c r="C132" s="128"/>
      <c r="D132" s="128"/>
      <c r="E132" s="128"/>
      <c r="F132" s="128"/>
      <c r="G132" s="128"/>
      <c r="H132" s="128"/>
      <c r="I132" s="128"/>
      <c r="J132" s="128"/>
      <c r="K132" s="128"/>
      <c r="L132" s="128"/>
      <c r="M132" s="128"/>
      <c r="N132" s="128"/>
      <c r="O132" s="128"/>
      <c r="P132" s="128"/>
      <c r="Q132" s="128"/>
      <c r="R132" s="128"/>
      <c r="S132" s="128"/>
      <c r="T132" s="128"/>
    </row>
    <row r="133" spans="1:20" x14ac:dyDescent="0.3">
      <c r="A133"/>
      <c r="B133" s="127">
        <v>10</v>
      </c>
      <c r="C133" s="128"/>
      <c r="D133" s="128"/>
      <c r="E133" s="128"/>
      <c r="F133" s="128"/>
      <c r="G133" s="128"/>
      <c r="H133" s="128"/>
      <c r="I133" s="128"/>
      <c r="J133" s="128"/>
      <c r="K133" s="128"/>
      <c r="L133" s="128"/>
      <c r="M133" s="128"/>
      <c r="N133" s="128"/>
      <c r="O133" s="128"/>
      <c r="P133" s="128"/>
      <c r="Q133" s="128"/>
      <c r="R133" s="128"/>
      <c r="S133" s="128"/>
      <c r="T133" s="128"/>
    </row>
    <row r="134" spans="1:20" x14ac:dyDescent="0.3">
      <c r="A134"/>
      <c r="B134" s="127">
        <v>11</v>
      </c>
      <c r="C134" s="128"/>
      <c r="D134" s="128"/>
      <c r="E134" s="128"/>
      <c r="F134" s="128"/>
      <c r="G134" s="128"/>
      <c r="H134" s="128"/>
      <c r="I134" s="128"/>
      <c r="J134" s="128"/>
      <c r="K134" s="128"/>
      <c r="L134" s="128"/>
      <c r="M134" s="128"/>
      <c r="N134" s="128"/>
      <c r="O134" s="128"/>
      <c r="P134" s="128"/>
      <c r="Q134" s="128"/>
      <c r="R134" s="128"/>
      <c r="S134" s="128"/>
      <c r="T134" s="128"/>
    </row>
    <row r="135" spans="1:20" x14ac:dyDescent="0.3">
      <c r="A135"/>
      <c r="B135" s="127">
        <v>12</v>
      </c>
      <c r="C135" s="128"/>
      <c r="D135" s="128"/>
      <c r="E135" s="128"/>
      <c r="F135" s="128"/>
      <c r="G135" s="128"/>
      <c r="H135" s="128"/>
      <c r="I135" s="128"/>
      <c r="J135" s="128"/>
      <c r="K135" s="128"/>
      <c r="L135" s="128"/>
      <c r="M135" s="128"/>
      <c r="N135" s="128"/>
      <c r="O135" s="128"/>
      <c r="P135" s="128"/>
      <c r="Q135" s="128"/>
      <c r="R135" s="128"/>
      <c r="S135" s="128"/>
      <c r="T135" s="128"/>
    </row>
    <row r="136" spans="1:20" x14ac:dyDescent="0.3">
      <c r="A136"/>
      <c r="B136" s="127">
        <v>13</v>
      </c>
      <c r="C136" s="128"/>
      <c r="D136" s="128"/>
      <c r="E136" s="128"/>
      <c r="F136" s="128"/>
      <c r="G136" s="128"/>
      <c r="H136" s="128"/>
      <c r="I136" s="128"/>
      <c r="J136" s="128"/>
      <c r="K136" s="128"/>
      <c r="L136" s="128"/>
      <c r="M136" s="128"/>
      <c r="N136" s="128"/>
      <c r="O136" s="128"/>
      <c r="P136" s="128"/>
      <c r="Q136" s="128"/>
      <c r="R136" s="128"/>
      <c r="S136" s="128"/>
      <c r="T136" s="128"/>
    </row>
    <row r="137" spans="1:20" x14ac:dyDescent="0.3">
      <c r="A137"/>
      <c r="B137" s="127">
        <v>14</v>
      </c>
      <c r="C137" s="128"/>
      <c r="D137" s="128"/>
      <c r="E137" s="128"/>
      <c r="F137" s="128"/>
      <c r="G137" s="128"/>
      <c r="H137" s="128"/>
      <c r="I137" s="128"/>
      <c r="J137" s="128"/>
      <c r="K137" s="128"/>
      <c r="L137" s="128"/>
      <c r="M137" s="128"/>
      <c r="N137" s="128"/>
      <c r="O137" s="128"/>
      <c r="P137" s="128"/>
      <c r="Q137" s="128"/>
      <c r="R137" s="128"/>
      <c r="S137" s="128"/>
      <c r="T137" s="128"/>
    </row>
    <row r="138" spans="1:20" x14ac:dyDescent="0.3">
      <c r="A138"/>
      <c r="B138" s="127">
        <v>15</v>
      </c>
      <c r="C138" s="128"/>
      <c r="D138" s="128"/>
      <c r="E138" s="128"/>
      <c r="F138" s="128"/>
      <c r="G138" s="128"/>
      <c r="H138" s="128"/>
      <c r="I138" s="128"/>
      <c r="J138" s="128"/>
      <c r="K138" s="128"/>
      <c r="L138" s="128"/>
      <c r="M138" s="128"/>
      <c r="N138" s="128"/>
      <c r="O138" s="128"/>
      <c r="P138" s="128"/>
      <c r="Q138" s="128"/>
      <c r="R138" s="128"/>
      <c r="S138" s="128"/>
      <c r="T138" s="128"/>
    </row>
    <row r="139" spans="1:20" x14ac:dyDescent="0.3">
      <c r="A139"/>
      <c r="B139" s="127">
        <v>16</v>
      </c>
      <c r="C139" s="128"/>
      <c r="D139" s="128"/>
      <c r="E139" s="128"/>
      <c r="F139" s="128"/>
      <c r="G139" s="128"/>
      <c r="H139" s="128"/>
      <c r="I139" s="128"/>
      <c r="J139" s="128"/>
      <c r="K139" s="128"/>
      <c r="L139" s="128"/>
      <c r="M139" s="128"/>
      <c r="N139" s="128"/>
      <c r="O139" s="128"/>
      <c r="P139" s="128"/>
      <c r="Q139" s="128"/>
      <c r="R139" s="128"/>
      <c r="S139" s="128"/>
      <c r="T139" s="128"/>
    </row>
    <row r="140" spans="1:20" x14ac:dyDescent="0.3">
      <c r="A140"/>
      <c r="B140" s="127">
        <v>17</v>
      </c>
      <c r="C140" s="128"/>
      <c r="D140" s="128"/>
      <c r="E140" s="128"/>
      <c r="F140" s="128"/>
      <c r="G140" s="128"/>
      <c r="H140" s="128"/>
      <c r="I140" s="128"/>
      <c r="J140" s="128"/>
      <c r="K140" s="128"/>
      <c r="L140" s="128"/>
      <c r="M140" s="128"/>
      <c r="N140" s="128"/>
      <c r="O140" s="128"/>
      <c r="P140" s="128"/>
      <c r="Q140" s="128"/>
      <c r="R140" s="128"/>
      <c r="S140" s="128"/>
      <c r="T140" s="128"/>
    </row>
    <row r="141" spans="1:20" x14ac:dyDescent="0.3">
      <c r="A141"/>
      <c r="B141" s="127">
        <v>18</v>
      </c>
      <c r="C141" s="128"/>
      <c r="D141" s="128"/>
      <c r="E141" s="128"/>
      <c r="F141" s="128"/>
      <c r="G141" s="128"/>
      <c r="H141" s="128"/>
      <c r="I141" s="128"/>
      <c r="J141" s="128"/>
      <c r="K141" s="128"/>
      <c r="L141" s="128"/>
      <c r="M141" s="128"/>
      <c r="N141" s="128"/>
      <c r="O141" s="128"/>
      <c r="P141" s="128"/>
      <c r="Q141" s="128"/>
      <c r="R141" s="128"/>
      <c r="S141" s="128"/>
      <c r="T141" s="128"/>
    </row>
    <row r="142" spans="1:20" x14ac:dyDescent="0.3">
      <c r="A142"/>
      <c r="B142" s="127">
        <v>19</v>
      </c>
      <c r="C142" s="128"/>
      <c r="D142" s="128"/>
      <c r="E142" s="128"/>
      <c r="F142" s="128"/>
      <c r="G142" s="128"/>
      <c r="H142" s="128"/>
      <c r="I142" s="128"/>
      <c r="J142" s="128"/>
      <c r="K142" s="128"/>
      <c r="L142" s="128"/>
      <c r="M142" s="128"/>
      <c r="N142" s="128"/>
      <c r="O142" s="128"/>
      <c r="P142" s="128"/>
      <c r="Q142" s="128"/>
      <c r="R142" s="128"/>
      <c r="S142" s="128"/>
      <c r="T142" s="128"/>
    </row>
    <row r="143" spans="1:20" x14ac:dyDescent="0.3">
      <c r="A143"/>
      <c r="B143" s="127">
        <v>20</v>
      </c>
      <c r="C143" s="128"/>
      <c r="D143" s="128"/>
      <c r="E143" s="128"/>
      <c r="F143" s="128"/>
      <c r="G143" s="128"/>
      <c r="H143" s="128"/>
      <c r="I143" s="128"/>
      <c r="J143" s="128"/>
      <c r="K143" s="128"/>
      <c r="L143" s="128"/>
      <c r="M143" s="128"/>
      <c r="N143" s="128"/>
      <c r="O143" s="128"/>
      <c r="P143" s="128"/>
      <c r="Q143" s="128"/>
      <c r="R143" s="128"/>
      <c r="S143" s="128"/>
      <c r="T143" s="128"/>
    </row>
    <row r="144" spans="1:20" x14ac:dyDescent="0.3">
      <c r="A144"/>
      <c r="B144" s="127">
        <v>21</v>
      </c>
      <c r="C144" s="128"/>
      <c r="D144" s="128"/>
      <c r="E144" s="128"/>
      <c r="F144" s="128"/>
      <c r="G144" s="128"/>
      <c r="H144" s="128"/>
      <c r="I144" s="128"/>
      <c r="J144" s="128"/>
      <c r="K144" s="128"/>
      <c r="L144" s="128"/>
      <c r="M144" s="128"/>
      <c r="N144" s="128"/>
      <c r="O144" s="128"/>
      <c r="P144" s="128"/>
      <c r="Q144" s="128"/>
      <c r="R144" s="128"/>
      <c r="S144" s="128"/>
      <c r="T144" s="128"/>
    </row>
    <row r="145" spans="1:20" x14ac:dyDescent="0.3">
      <c r="A145"/>
      <c r="B145" s="127">
        <v>22</v>
      </c>
      <c r="C145" s="128"/>
      <c r="D145" s="128"/>
      <c r="E145" s="128"/>
      <c r="F145" s="128"/>
      <c r="G145" s="128"/>
      <c r="H145" s="128"/>
      <c r="I145" s="128"/>
      <c r="J145" s="128"/>
      <c r="K145" s="128"/>
      <c r="L145" s="128"/>
      <c r="M145" s="128"/>
      <c r="N145" s="128"/>
      <c r="O145" s="128"/>
      <c r="P145" s="128"/>
      <c r="Q145" s="128"/>
      <c r="R145" s="128"/>
      <c r="S145" s="128"/>
      <c r="T145" s="128"/>
    </row>
    <row r="146" spans="1:20" x14ac:dyDescent="0.3">
      <c r="A146"/>
      <c r="B146" s="127">
        <v>23</v>
      </c>
      <c r="C146" s="128"/>
      <c r="D146" s="128"/>
      <c r="E146" s="128"/>
      <c r="F146" s="128"/>
      <c r="G146" s="128"/>
      <c r="H146" s="128"/>
      <c r="I146" s="128"/>
      <c r="J146" s="128"/>
      <c r="K146" s="128"/>
      <c r="L146" s="128"/>
      <c r="M146" s="128"/>
      <c r="N146" s="128"/>
      <c r="O146" s="128"/>
      <c r="P146" s="128"/>
      <c r="Q146" s="128"/>
      <c r="R146" s="128"/>
      <c r="S146" s="128"/>
      <c r="T146" s="128"/>
    </row>
    <row r="147" spans="1:20" x14ac:dyDescent="0.3">
      <c r="A147"/>
      <c r="B147" s="127">
        <v>24</v>
      </c>
      <c r="C147" s="128"/>
      <c r="D147" s="128"/>
      <c r="E147" s="128"/>
      <c r="F147" s="128"/>
      <c r="G147" s="128"/>
      <c r="H147" s="128"/>
      <c r="I147" s="128"/>
      <c r="J147" s="128"/>
      <c r="K147" s="128"/>
      <c r="L147" s="128"/>
      <c r="M147" s="128"/>
      <c r="N147" s="128"/>
      <c r="O147" s="128"/>
      <c r="P147" s="128"/>
      <c r="Q147" s="128"/>
      <c r="R147" s="128"/>
      <c r="S147" s="128"/>
      <c r="T147" s="128"/>
    </row>
    <row r="148" spans="1:20" x14ac:dyDescent="0.3">
      <c r="A148"/>
      <c r="B148" s="127">
        <v>25</v>
      </c>
      <c r="C148" s="128"/>
      <c r="D148" s="128"/>
      <c r="E148" s="128"/>
      <c r="F148" s="128"/>
      <c r="G148" s="128"/>
      <c r="H148" s="128"/>
      <c r="I148" s="128"/>
      <c r="J148" s="128"/>
      <c r="K148" s="128"/>
      <c r="L148" s="128"/>
      <c r="M148" s="128"/>
      <c r="N148" s="128"/>
      <c r="O148" s="128"/>
      <c r="P148" s="128"/>
      <c r="Q148" s="128"/>
      <c r="R148" s="128"/>
      <c r="S148" s="128"/>
      <c r="T148" s="128"/>
    </row>
    <row r="149" spans="1:20" x14ac:dyDescent="0.3">
      <c r="A149"/>
      <c r="B149" s="127">
        <v>26</v>
      </c>
      <c r="C149" s="128"/>
      <c r="D149" s="128"/>
      <c r="E149" s="128"/>
      <c r="F149" s="128"/>
      <c r="G149" s="128"/>
      <c r="H149" s="128"/>
      <c r="I149" s="128"/>
      <c r="J149" s="128"/>
      <c r="K149" s="128"/>
      <c r="L149" s="128"/>
      <c r="M149" s="128"/>
      <c r="N149" s="128"/>
      <c r="O149" s="128"/>
      <c r="P149" s="128"/>
      <c r="Q149" s="128"/>
      <c r="R149" s="128"/>
      <c r="S149" s="128"/>
      <c r="T149" s="128"/>
    </row>
    <row r="150" spans="1:20" x14ac:dyDescent="0.3">
      <c r="A150"/>
      <c r="B150" s="127">
        <v>27</v>
      </c>
      <c r="C150" s="128"/>
      <c r="D150" s="128"/>
      <c r="E150" s="128"/>
      <c r="F150" s="128"/>
      <c r="G150" s="128"/>
      <c r="H150" s="128"/>
      <c r="I150" s="128"/>
      <c r="J150" s="128"/>
      <c r="K150" s="128"/>
      <c r="L150" s="128"/>
      <c r="M150" s="128"/>
      <c r="N150" s="128"/>
      <c r="O150" s="128"/>
      <c r="P150" s="128"/>
      <c r="Q150" s="128"/>
      <c r="R150" s="128"/>
      <c r="S150" s="128"/>
      <c r="T150" s="128"/>
    </row>
    <row r="151" spans="1:20" x14ac:dyDescent="0.3">
      <c r="A151"/>
      <c r="B151" s="127">
        <v>28</v>
      </c>
      <c r="C151" s="128"/>
      <c r="D151" s="128"/>
      <c r="E151" s="128"/>
      <c r="F151" s="128"/>
      <c r="G151" s="128"/>
      <c r="H151" s="128"/>
      <c r="I151" s="128"/>
      <c r="J151" s="128"/>
      <c r="K151" s="128"/>
      <c r="L151" s="128"/>
      <c r="M151" s="128"/>
      <c r="N151" s="128"/>
      <c r="O151" s="128"/>
      <c r="P151" s="128"/>
      <c r="Q151" s="128"/>
      <c r="R151" s="128"/>
      <c r="S151" s="128"/>
      <c r="T151" s="128"/>
    </row>
    <row r="152" spans="1:20" x14ac:dyDescent="0.3">
      <c r="A152"/>
      <c r="B152" s="127">
        <v>29</v>
      </c>
      <c r="C152" s="128"/>
      <c r="D152" s="128"/>
      <c r="E152" s="128"/>
      <c r="F152" s="128"/>
      <c r="G152" s="128"/>
      <c r="H152" s="128"/>
      <c r="I152" s="128"/>
      <c r="J152" s="128"/>
      <c r="K152" s="128"/>
      <c r="L152" s="128"/>
      <c r="M152" s="128"/>
      <c r="N152" s="128"/>
      <c r="O152" s="128"/>
      <c r="P152" s="128"/>
      <c r="Q152" s="128"/>
      <c r="R152" s="128"/>
      <c r="S152" s="128"/>
      <c r="T152" s="128"/>
    </row>
    <row r="153" spans="1:20" x14ac:dyDescent="0.3">
      <c r="A153"/>
      <c r="B153" s="127">
        <v>30</v>
      </c>
      <c r="C153" s="128"/>
      <c r="D153" s="128"/>
      <c r="E153" s="128"/>
      <c r="F153" s="128"/>
      <c r="G153" s="128"/>
      <c r="H153" s="128"/>
      <c r="I153" s="128"/>
      <c r="J153" s="128"/>
      <c r="K153" s="128"/>
      <c r="L153" s="128"/>
      <c r="M153" s="128"/>
      <c r="N153" s="128"/>
      <c r="O153" s="128"/>
      <c r="P153" s="128"/>
      <c r="Q153" s="128"/>
      <c r="R153" s="128"/>
      <c r="S153" s="128"/>
      <c r="T153" s="128"/>
    </row>
    <row r="154" spans="1:20" hidden="1" x14ac:dyDescent="0.3">
      <c r="A154"/>
      <c r="B154" s="59" t="s">
        <v>84</v>
      </c>
      <c r="C154" s="60">
        <f>SUM(AggPresumptiveP4[Total Presumptive TB])</f>
        <v>0</v>
      </c>
      <c r="D154" s="60">
        <f>SUM(AggPresumptiveP4[Age 0-14])</f>
        <v>0</v>
      </c>
      <c r="E154" s="60">
        <f>SUM(AggPresumptiveP4[Age 15+ ])</f>
        <v>0</v>
      </c>
      <c r="F154" s="60">
        <f>SUM(AggPresumptiveP4[Number Specimens Collected])</f>
        <v>0</v>
      </c>
      <c r="G154" s="60">
        <f>SUBTOTAL(109,AggPresumptiveP4[Unable to Produce])</f>
        <v>0</v>
      </c>
      <c r="H154" s="60">
        <f>SUM(AggPresumptiveP4[HIV Positive])</f>
        <v>0</v>
      </c>
      <c r="I154" s="60">
        <f>SUM(AggPresumptiveP4[HIV Negative])</f>
        <v>0</v>
      </c>
      <c r="J154" s="60">
        <f>SUM(AggPresumptiveP4[Not Tested])</f>
        <v>0</v>
      </c>
      <c r="K154" s="60">
        <f>SUM(AggPresumptiveP4[AFB (-)])</f>
        <v>0</v>
      </c>
      <c r="L154" s="60">
        <f>SUM(AggPresumptiveP4[AFB (+)])</f>
        <v>0</v>
      </c>
      <c r="M154" s="60">
        <f>SUM(AggPresumptiveP4[MTB Not Detected
(N)])</f>
        <v>0</v>
      </c>
      <c r="N154" s="60">
        <f>SUM(AggPresumptiveP4[MTB Detected
(including trace), 
RIF Resistance not Detected
(T)])</f>
        <v>0</v>
      </c>
      <c r="O154" s="60">
        <f>SUM(AggPresumptiveP4[MTB Detected (including trace), 
RIF Resistance Detected
(RR)])</f>
        <v>0</v>
      </c>
      <c r="P154" s="60">
        <f>SUM(AggPresumptiveP4[MTB Detected (including trace), 
RIF Resistance Indeterminate
(TI)])</f>
        <v>0</v>
      </c>
      <c r="Q154" s="60">
        <f>SUM(AggPresumptiveP4[Invalid
No Result Error
(I)])</f>
        <v>0</v>
      </c>
      <c r="R154" s="60">
        <f>SUM(AggPresumptiveP4[LAM Positive])</f>
        <v>0</v>
      </c>
      <c r="S154" s="60">
        <f>SUM(AggPresumptiveP4[LAM Negative])</f>
        <v>0</v>
      </c>
      <c r="T154" s="60">
        <f>SUM(AggPresumptiveP4[Invalid])</f>
        <v>0</v>
      </c>
    </row>
    <row r="155" spans="1:20" x14ac:dyDescent="0.3">
      <c r="A155"/>
      <c r="B155" s="130" t="s">
        <v>84</v>
      </c>
      <c r="C155" s="49">
        <f>AggPresumptiveP4[[#Totals],[Total Presumptive TB]]</f>
        <v>0</v>
      </c>
      <c r="D155" s="49">
        <f>AggPresumptiveP4[[#Totals],[Age 0-14]]</f>
        <v>0</v>
      </c>
      <c r="E155" s="49">
        <f>AggPresumptiveP4[[#Totals],[Age 15+ ]]</f>
        <v>0</v>
      </c>
      <c r="F155" s="49">
        <f>AggPresumptiveP4[[#Totals],[Number Specimens Collected]]</f>
        <v>0</v>
      </c>
      <c r="G155" s="49">
        <f>AggPresumptiveP4[[#Totals],[Unable to Produce]]</f>
        <v>0</v>
      </c>
      <c r="H155" s="49">
        <f>AggPresumptiveP4[[#Totals],[HIV Positive]]</f>
        <v>0</v>
      </c>
      <c r="I155" s="49">
        <f>AggPresumptiveP4[[#Totals],[HIV Negative]]</f>
        <v>0</v>
      </c>
      <c r="J155" s="49">
        <f>AggPresumptiveP4[[#Totals],[Not Tested]]</f>
        <v>0</v>
      </c>
      <c r="K155" s="49">
        <f>AggPresumptiveP4[[#Totals],[AFB (-)]]</f>
        <v>0</v>
      </c>
      <c r="L155" s="49">
        <f>AggPresumptiveP4[[#Totals],[AFB (+)]]</f>
        <v>0</v>
      </c>
      <c r="M155" s="49">
        <f>AggPresumptiveP4[[#Totals],[MTB Not Detected
(N)]]</f>
        <v>0</v>
      </c>
      <c r="N155" s="49">
        <f>AggPresumptiveP4[[#Totals],[MTB Detected
(including trace), 
RIF Resistance not Detected
(T)]]</f>
        <v>0</v>
      </c>
      <c r="O155" s="49">
        <f>AggPresumptiveP4[[#Totals],[MTB Detected (including trace), 
RIF Resistance Detected
(RR)]]</f>
        <v>0</v>
      </c>
      <c r="P155" s="49">
        <f>AggPresumptiveP4[[#Totals],[MTB Detected (including trace), 
RIF Resistance Indeterminate
(TI)]]</f>
        <v>0</v>
      </c>
      <c r="Q155" s="49">
        <f>AggPresumptiveP4[[#Totals],[Invalid
No Result Error
(I)]]</f>
        <v>0</v>
      </c>
      <c r="R155" s="49">
        <f>AggPresumptiveP4[[#Totals],[LAM Positive]]</f>
        <v>0</v>
      </c>
      <c r="S155" s="49">
        <f>AggPresumptiveP4[[#Totals],[LAM Negative]]</f>
        <v>0</v>
      </c>
      <c r="T155" s="49">
        <f>AggPresumptiveP4[[#Totals],[Invalid]]</f>
        <v>0</v>
      </c>
    </row>
    <row r="156" spans="1:20" x14ac:dyDescent="0.3">
      <c r="A156"/>
    </row>
    <row r="157" spans="1:20" x14ac:dyDescent="0.3">
      <c r="A157"/>
    </row>
    <row r="158" spans="1:20" x14ac:dyDescent="0.3">
      <c r="A158"/>
      <c r="B158" s="786" t="str">
        <f>IF('1. ASSESSMENT PROFILE'!D42&lt;&gt;"", '1. ASSESSMENT PROFILE'!D42,"")</f>
        <v/>
      </c>
      <c r="C158" s="786"/>
      <c r="D158" s="786"/>
      <c r="E158" s="786"/>
      <c r="F158" s="786"/>
      <c r="G158" s="786"/>
      <c r="H158" s="786"/>
      <c r="I158" s="786"/>
      <c r="J158" s="786"/>
      <c r="K158" s="786"/>
      <c r="L158" s="786"/>
      <c r="M158" s="786"/>
      <c r="N158" s="786"/>
      <c r="O158" s="786"/>
      <c r="P158" s="786"/>
      <c r="Q158" s="786"/>
      <c r="R158" s="786"/>
      <c r="S158" s="786"/>
      <c r="T158" s="786"/>
    </row>
    <row r="159" spans="1:20" ht="28.8" x14ac:dyDescent="0.3">
      <c r="A159"/>
      <c r="B159" s="122"/>
      <c r="C159" s="123"/>
      <c r="D159" s="759" t="s">
        <v>14</v>
      </c>
      <c r="E159" s="760"/>
      <c r="F159" s="761" t="s">
        <v>89</v>
      </c>
      <c r="G159" s="762"/>
      <c r="H159" s="757" t="s">
        <v>57</v>
      </c>
      <c r="I159" s="758"/>
      <c r="J159" s="427" t="s">
        <v>58</v>
      </c>
      <c r="K159" s="769" t="s">
        <v>123</v>
      </c>
      <c r="L159" s="769"/>
      <c r="M159" s="769" t="s">
        <v>224</v>
      </c>
      <c r="N159" s="769"/>
      <c r="O159" s="769"/>
      <c r="P159" s="769"/>
      <c r="Q159" s="769"/>
      <c r="R159" s="769" t="s">
        <v>129</v>
      </c>
      <c r="S159" s="769"/>
      <c r="T159" s="769"/>
    </row>
    <row r="160" spans="1:20" ht="83.4" customHeight="1" x14ac:dyDescent="0.3">
      <c r="A160"/>
      <c r="B160" s="125" t="s">
        <v>59</v>
      </c>
      <c r="C160" s="125" t="s">
        <v>111</v>
      </c>
      <c r="D160" s="125" t="s">
        <v>53</v>
      </c>
      <c r="E160" s="125" t="s">
        <v>54</v>
      </c>
      <c r="F160" s="125" t="s">
        <v>90</v>
      </c>
      <c r="G160" s="125" t="s">
        <v>246</v>
      </c>
      <c r="H160" s="427" t="s">
        <v>133</v>
      </c>
      <c r="I160" s="427" t="s">
        <v>134</v>
      </c>
      <c r="J160" s="125" t="s">
        <v>56</v>
      </c>
      <c r="K160" s="427" t="s">
        <v>6</v>
      </c>
      <c r="L160" s="427" t="s">
        <v>5</v>
      </c>
      <c r="M160" s="141" t="s">
        <v>122</v>
      </c>
      <c r="N160" s="141" t="s">
        <v>124</v>
      </c>
      <c r="O160" s="141" t="s">
        <v>125</v>
      </c>
      <c r="P160" s="141" t="s">
        <v>126</v>
      </c>
      <c r="Q160" s="141" t="s">
        <v>391</v>
      </c>
      <c r="R160" s="141" t="s">
        <v>130</v>
      </c>
      <c r="S160" s="141" t="s">
        <v>131</v>
      </c>
      <c r="T160" s="141" t="s">
        <v>132</v>
      </c>
    </row>
    <row r="161" spans="1:20" x14ac:dyDescent="0.3">
      <c r="A161"/>
      <c r="B161" s="127">
        <v>1</v>
      </c>
      <c r="C161" s="367"/>
      <c r="D161" s="128"/>
      <c r="E161" s="129"/>
      <c r="F161" s="128"/>
      <c r="G161" s="128"/>
      <c r="H161" s="128"/>
      <c r="I161" s="128"/>
      <c r="J161" s="128"/>
      <c r="K161" s="128"/>
      <c r="L161" s="128"/>
      <c r="M161" s="128"/>
      <c r="N161" s="128"/>
      <c r="O161" s="128"/>
      <c r="P161" s="128"/>
      <c r="Q161" s="128"/>
      <c r="R161" s="128"/>
      <c r="S161" s="128"/>
      <c r="T161" s="128"/>
    </row>
    <row r="162" spans="1:20" x14ac:dyDescent="0.3">
      <c r="B162" s="127">
        <v>2</v>
      </c>
      <c r="C162" s="128"/>
      <c r="D162" s="128"/>
      <c r="E162" s="128"/>
      <c r="F162" s="128"/>
      <c r="G162" s="128"/>
      <c r="H162" s="128"/>
      <c r="I162" s="128"/>
      <c r="J162" s="128"/>
      <c r="K162" s="128"/>
      <c r="L162" s="128"/>
      <c r="M162" s="128"/>
      <c r="N162" s="128"/>
      <c r="O162" s="128"/>
      <c r="P162" s="128"/>
      <c r="Q162" s="128"/>
      <c r="R162" s="128"/>
      <c r="S162" s="128"/>
      <c r="T162" s="128"/>
    </row>
    <row r="163" spans="1:20" x14ac:dyDescent="0.3">
      <c r="B163" s="127">
        <v>3</v>
      </c>
      <c r="C163" s="128"/>
      <c r="D163" s="128"/>
      <c r="E163" s="128"/>
      <c r="F163" s="128"/>
      <c r="G163" s="128"/>
      <c r="H163" s="128"/>
      <c r="I163" s="128"/>
      <c r="J163" s="128"/>
      <c r="K163" s="128"/>
      <c r="L163" s="128"/>
      <c r="M163" s="128"/>
      <c r="N163" s="128"/>
      <c r="O163" s="128"/>
      <c r="P163" s="128"/>
      <c r="Q163" s="128"/>
      <c r="R163" s="128"/>
      <c r="S163" s="128"/>
      <c r="T163" s="128"/>
    </row>
    <row r="164" spans="1:20" x14ac:dyDescent="0.3">
      <c r="B164" s="127">
        <v>4</v>
      </c>
      <c r="C164" s="128"/>
      <c r="D164" s="128"/>
      <c r="E164" s="128"/>
      <c r="F164" s="128"/>
      <c r="G164" s="128"/>
      <c r="H164" s="128"/>
      <c r="I164" s="128"/>
      <c r="J164" s="128"/>
      <c r="K164" s="128"/>
      <c r="L164" s="128"/>
      <c r="M164" s="128"/>
      <c r="N164" s="128"/>
      <c r="O164" s="128"/>
      <c r="P164" s="128"/>
      <c r="Q164" s="128"/>
      <c r="R164" s="128"/>
      <c r="S164" s="128"/>
      <c r="T164" s="128"/>
    </row>
    <row r="165" spans="1:20" x14ac:dyDescent="0.3">
      <c r="B165" s="127">
        <v>5</v>
      </c>
      <c r="C165" s="128"/>
      <c r="D165" s="128"/>
      <c r="E165" s="128"/>
      <c r="F165" s="128"/>
      <c r="G165" s="128"/>
      <c r="H165" s="128"/>
      <c r="I165" s="128"/>
      <c r="J165" s="128"/>
      <c r="K165" s="128"/>
      <c r="L165" s="128"/>
      <c r="M165" s="128"/>
      <c r="N165" s="128"/>
      <c r="O165" s="128"/>
      <c r="P165" s="128"/>
      <c r="Q165" s="128"/>
      <c r="R165" s="128"/>
      <c r="S165" s="128"/>
      <c r="T165" s="128"/>
    </row>
    <row r="166" spans="1:20" x14ac:dyDescent="0.3">
      <c r="B166" s="127">
        <v>6</v>
      </c>
      <c r="C166" s="128"/>
      <c r="D166" s="128"/>
      <c r="E166" s="128"/>
      <c r="F166" s="128"/>
      <c r="G166" s="128"/>
      <c r="H166" s="128"/>
      <c r="I166" s="128"/>
      <c r="J166" s="128"/>
      <c r="K166" s="128"/>
      <c r="L166" s="128"/>
      <c r="M166" s="128"/>
      <c r="N166" s="128"/>
      <c r="O166" s="128"/>
      <c r="P166" s="128"/>
      <c r="Q166" s="128"/>
      <c r="R166" s="128"/>
      <c r="S166" s="128"/>
      <c r="T166" s="128"/>
    </row>
    <row r="167" spans="1:20" x14ac:dyDescent="0.3">
      <c r="B167" s="127">
        <v>7</v>
      </c>
      <c r="C167" s="128"/>
      <c r="D167" s="128"/>
      <c r="E167" s="128"/>
      <c r="F167" s="128"/>
      <c r="G167" s="128"/>
      <c r="H167" s="128"/>
      <c r="I167" s="128"/>
      <c r="J167" s="128"/>
      <c r="K167" s="128"/>
      <c r="L167" s="128"/>
      <c r="M167" s="128"/>
      <c r="N167" s="128"/>
      <c r="O167" s="128"/>
      <c r="P167" s="128"/>
      <c r="Q167" s="128"/>
      <c r="R167" s="128"/>
      <c r="S167" s="128"/>
      <c r="T167" s="128"/>
    </row>
    <row r="168" spans="1:20" x14ac:dyDescent="0.3">
      <c r="B168" s="127">
        <v>8</v>
      </c>
      <c r="C168" s="128"/>
      <c r="D168" s="128"/>
      <c r="E168" s="128"/>
      <c r="F168" s="128"/>
      <c r="G168" s="128"/>
      <c r="H168" s="128"/>
      <c r="I168" s="128"/>
      <c r="J168" s="128"/>
      <c r="K168" s="128"/>
      <c r="L168" s="128"/>
      <c r="M168" s="128"/>
      <c r="N168" s="128"/>
      <c r="O168" s="128"/>
      <c r="P168" s="128"/>
      <c r="Q168" s="128"/>
      <c r="R168" s="128"/>
      <c r="S168" s="128"/>
      <c r="T168" s="128"/>
    </row>
    <row r="169" spans="1:20" x14ac:dyDescent="0.3">
      <c r="B169" s="127">
        <v>9</v>
      </c>
      <c r="C169" s="128"/>
      <c r="D169" s="128"/>
      <c r="E169" s="128"/>
      <c r="F169" s="128"/>
      <c r="G169" s="128"/>
      <c r="H169" s="128"/>
      <c r="I169" s="128"/>
      <c r="J169" s="128"/>
      <c r="K169" s="128"/>
      <c r="L169" s="128"/>
      <c r="M169" s="128"/>
      <c r="N169" s="128"/>
      <c r="O169" s="128"/>
      <c r="P169" s="128"/>
      <c r="Q169" s="128"/>
      <c r="R169" s="128"/>
      <c r="S169" s="128"/>
      <c r="T169" s="128"/>
    </row>
    <row r="170" spans="1:20" x14ac:dyDescent="0.3">
      <c r="B170" s="127">
        <v>10</v>
      </c>
      <c r="C170" s="128"/>
      <c r="D170" s="128"/>
      <c r="E170" s="128"/>
      <c r="F170" s="128"/>
      <c r="G170" s="128"/>
      <c r="H170" s="128"/>
      <c r="I170" s="128"/>
      <c r="J170" s="128"/>
      <c r="K170" s="128"/>
      <c r="L170" s="128"/>
      <c r="M170" s="128"/>
      <c r="N170" s="128"/>
      <c r="O170" s="128"/>
      <c r="P170" s="128"/>
      <c r="Q170" s="128"/>
      <c r="R170" s="128"/>
      <c r="S170" s="128"/>
      <c r="T170" s="128"/>
    </row>
    <row r="171" spans="1:20" x14ac:dyDescent="0.3">
      <c r="B171" s="127">
        <v>11</v>
      </c>
      <c r="C171" s="128"/>
      <c r="D171" s="128"/>
      <c r="E171" s="128"/>
      <c r="F171" s="128"/>
      <c r="G171" s="128"/>
      <c r="H171" s="128"/>
      <c r="I171" s="128"/>
      <c r="J171" s="128"/>
      <c r="K171" s="128"/>
      <c r="L171" s="128"/>
      <c r="M171" s="128"/>
      <c r="N171" s="128"/>
      <c r="O171" s="128"/>
      <c r="P171" s="128"/>
      <c r="Q171" s="128"/>
      <c r="R171" s="128"/>
      <c r="S171" s="128"/>
      <c r="T171" s="128"/>
    </row>
    <row r="172" spans="1:20" x14ac:dyDescent="0.3">
      <c r="B172" s="127">
        <v>12</v>
      </c>
      <c r="C172" s="128"/>
      <c r="D172" s="128"/>
      <c r="E172" s="128"/>
      <c r="F172" s="128"/>
      <c r="G172" s="128"/>
      <c r="H172" s="128"/>
      <c r="I172" s="128"/>
      <c r="J172" s="128"/>
      <c r="K172" s="128"/>
      <c r="L172" s="128"/>
      <c r="M172" s="128"/>
      <c r="N172" s="128"/>
      <c r="O172" s="128"/>
      <c r="P172" s="128"/>
      <c r="Q172" s="128"/>
      <c r="R172" s="128"/>
      <c r="S172" s="128"/>
      <c r="T172" s="128"/>
    </row>
    <row r="173" spans="1:20" x14ac:dyDescent="0.3">
      <c r="B173" s="127">
        <v>13</v>
      </c>
      <c r="C173" s="128"/>
      <c r="D173" s="128"/>
      <c r="E173" s="128"/>
      <c r="F173" s="128"/>
      <c r="G173" s="128"/>
      <c r="H173" s="128"/>
      <c r="I173" s="128"/>
      <c r="J173" s="128"/>
      <c r="K173" s="128"/>
      <c r="L173" s="128"/>
      <c r="M173" s="128"/>
      <c r="N173" s="128"/>
      <c r="O173" s="128"/>
      <c r="P173" s="128"/>
      <c r="Q173" s="128"/>
      <c r="R173" s="128"/>
      <c r="S173" s="128"/>
      <c r="T173" s="128"/>
    </row>
    <row r="174" spans="1:20" x14ac:dyDescent="0.3">
      <c r="B174" s="127">
        <v>14</v>
      </c>
      <c r="C174" s="128"/>
      <c r="D174" s="128"/>
      <c r="E174" s="128"/>
      <c r="F174" s="128"/>
      <c r="G174" s="128"/>
      <c r="H174" s="128"/>
      <c r="I174" s="128"/>
      <c r="J174" s="128"/>
      <c r="K174" s="128"/>
      <c r="L174" s="128"/>
      <c r="M174" s="128"/>
      <c r="N174" s="128"/>
      <c r="O174" s="128"/>
      <c r="P174" s="128"/>
      <c r="Q174" s="128"/>
      <c r="R174" s="128"/>
      <c r="S174" s="128"/>
      <c r="T174" s="128"/>
    </row>
    <row r="175" spans="1:20" x14ac:dyDescent="0.3">
      <c r="B175" s="127">
        <v>15</v>
      </c>
      <c r="C175" s="128"/>
      <c r="D175" s="128"/>
      <c r="E175" s="128"/>
      <c r="F175" s="128"/>
      <c r="G175" s="128"/>
      <c r="H175" s="128"/>
      <c r="I175" s="128"/>
      <c r="J175" s="128"/>
      <c r="K175" s="128"/>
      <c r="L175" s="128"/>
      <c r="M175" s="128"/>
      <c r="N175" s="128"/>
      <c r="O175" s="128"/>
      <c r="P175" s="128"/>
      <c r="Q175" s="128"/>
      <c r="R175" s="128"/>
      <c r="S175" s="128"/>
      <c r="T175" s="128"/>
    </row>
    <row r="176" spans="1:20" x14ac:dyDescent="0.3">
      <c r="B176" s="127">
        <v>16</v>
      </c>
      <c r="C176" s="128"/>
      <c r="D176" s="128"/>
      <c r="E176" s="128"/>
      <c r="F176" s="128"/>
      <c r="G176" s="128"/>
      <c r="H176" s="128"/>
      <c r="I176" s="128"/>
      <c r="J176" s="128"/>
      <c r="K176" s="128"/>
      <c r="L176" s="128"/>
      <c r="M176" s="128"/>
      <c r="N176" s="128"/>
      <c r="O176" s="128"/>
      <c r="P176" s="128"/>
      <c r="Q176" s="128"/>
      <c r="R176" s="128"/>
      <c r="S176" s="128"/>
      <c r="T176" s="128"/>
    </row>
    <row r="177" spans="2:20" x14ac:dyDescent="0.3">
      <c r="B177" s="127">
        <v>17</v>
      </c>
      <c r="C177" s="128"/>
      <c r="D177" s="128"/>
      <c r="E177" s="128"/>
      <c r="F177" s="128"/>
      <c r="G177" s="128"/>
      <c r="H177" s="128"/>
      <c r="I177" s="128"/>
      <c r="J177" s="128"/>
      <c r="K177" s="128"/>
      <c r="L177" s="128"/>
      <c r="M177" s="128"/>
      <c r="N177" s="128"/>
      <c r="O177" s="128"/>
      <c r="P177" s="128"/>
      <c r="Q177" s="128"/>
      <c r="R177" s="128"/>
      <c r="S177" s="128"/>
      <c r="T177" s="128"/>
    </row>
    <row r="178" spans="2:20" x14ac:dyDescent="0.3">
      <c r="B178" s="127">
        <v>18</v>
      </c>
      <c r="C178" s="128"/>
      <c r="D178" s="128"/>
      <c r="E178" s="128"/>
      <c r="F178" s="128"/>
      <c r="G178" s="128"/>
      <c r="H178" s="128"/>
      <c r="I178" s="128"/>
      <c r="J178" s="128"/>
      <c r="K178" s="128"/>
      <c r="L178" s="128"/>
      <c r="M178" s="128"/>
      <c r="N178" s="128"/>
      <c r="O178" s="128"/>
      <c r="P178" s="128"/>
      <c r="Q178" s="128"/>
      <c r="R178" s="128"/>
      <c r="S178" s="128"/>
      <c r="T178" s="128"/>
    </row>
    <row r="179" spans="2:20" x14ac:dyDescent="0.3">
      <c r="B179" s="127">
        <v>19</v>
      </c>
      <c r="C179" s="128"/>
      <c r="D179" s="128"/>
      <c r="E179" s="128"/>
      <c r="F179" s="128"/>
      <c r="G179" s="128"/>
      <c r="H179" s="128"/>
      <c r="I179" s="128"/>
      <c r="J179" s="128"/>
      <c r="K179" s="128"/>
      <c r="L179" s="128"/>
      <c r="M179" s="128"/>
      <c r="N179" s="128"/>
      <c r="O179" s="128"/>
      <c r="P179" s="128"/>
      <c r="Q179" s="128"/>
      <c r="R179" s="128"/>
      <c r="S179" s="128"/>
      <c r="T179" s="128"/>
    </row>
    <row r="180" spans="2:20" x14ac:dyDescent="0.3">
      <c r="B180" s="127">
        <v>20</v>
      </c>
      <c r="C180" s="128"/>
      <c r="D180" s="128"/>
      <c r="E180" s="128"/>
      <c r="F180" s="128"/>
      <c r="G180" s="128"/>
      <c r="H180" s="128"/>
      <c r="I180" s="128"/>
      <c r="J180" s="128"/>
      <c r="K180" s="128"/>
      <c r="L180" s="128"/>
      <c r="M180" s="128"/>
      <c r="N180" s="128"/>
      <c r="O180" s="128"/>
      <c r="P180" s="128"/>
      <c r="Q180" s="128"/>
      <c r="R180" s="128"/>
      <c r="S180" s="128"/>
      <c r="T180" s="128"/>
    </row>
    <row r="181" spans="2:20" x14ac:dyDescent="0.3">
      <c r="B181" s="127">
        <v>21</v>
      </c>
      <c r="C181" s="128"/>
      <c r="D181" s="128"/>
      <c r="E181" s="128"/>
      <c r="F181" s="128"/>
      <c r="G181" s="128"/>
      <c r="H181" s="128"/>
      <c r="I181" s="128"/>
      <c r="J181" s="128"/>
      <c r="K181" s="128"/>
      <c r="L181" s="128"/>
      <c r="M181" s="128"/>
      <c r="N181" s="128"/>
      <c r="O181" s="128"/>
      <c r="P181" s="128"/>
      <c r="Q181" s="128"/>
      <c r="R181" s="128"/>
      <c r="S181" s="128"/>
      <c r="T181" s="128"/>
    </row>
    <row r="182" spans="2:20" x14ac:dyDescent="0.3">
      <c r="B182" s="127">
        <v>22</v>
      </c>
      <c r="C182" s="128"/>
      <c r="D182" s="128"/>
      <c r="E182" s="128"/>
      <c r="F182" s="128"/>
      <c r="G182" s="128"/>
      <c r="H182" s="128"/>
      <c r="I182" s="128"/>
      <c r="J182" s="128"/>
      <c r="K182" s="128"/>
      <c r="L182" s="128"/>
      <c r="M182" s="128"/>
      <c r="N182" s="128"/>
      <c r="O182" s="128"/>
      <c r="P182" s="128"/>
      <c r="Q182" s="128"/>
      <c r="R182" s="128"/>
      <c r="S182" s="128"/>
      <c r="T182" s="128"/>
    </row>
    <row r="183" spans="2:20" x14ac:dyDescent="0.3">
      <c r="B183" s="127">
        <v>23</v>
      </c>
      <c r="C183" s="128"/>
      <c r="D183" s="128"/>
      <c r="E183" s="128"/>
      <c r="F183" s="128"/>
      <c r="G183" s="128"/>
      <c r="H183" s="128"/>
      <c r="I183" s="128"/>
      <c r="J183" s="128"/>
      <c r="K183" s="128"/>
      <c r="L183" s="128"/>
      <c r="M183" s="128"/>
      <c r="N183" s="128"/>
      <c r="O183" s="128"/>
      <c r="P183" s="128"/>
      <c r="Q183" s="128"/>
      <c r="R183" s="128"/>
      <c r="S183" s="128"/>
      <c r="T183" s="128"/>
    </row>
    <row r="184" spans="2:20" x14ac:dyDescent="0.3">
      <c r="B184" s="127">
        <v>24</v>
      </c>
      <c r="C184" s="128"/>
      <c r="D184" s="128"/>
      <c r="E184" s="128"/>
      <c r="F184" s="128"/>
      <c r="G184" s="128"/>
      <c r="H184" s="128"/>
      <c r="I184" s="128"/>
      <c r="J184" s="128"/>
      <c r="K184" s="128"/>
      <c r="L184" s="128"/>
      <c r="M184" s="128"/>
      <c r="N184" s="128"/>
      <c r="O184" s="128"/>
      <c r="P184" s="128"/>
      <c r="Q184" s="128"/>
      <c r="R184" s="128"/>
      <c r="S184" s="128"/>
      <c r="T184" s="128"/>
    </row>
    <row r="185" spans="2:20" x14ac:dyDescent="0.3">
      <c r="B185" s="127">
        <v>25</v>
      </c>
      <c r="C185" s="128"/>
      <c r="D185" s="128"/>
      <c r="E185" s="128"/>
      <c r="F185" s="128"/>
      <c r="G185" s="128"/>
      <c r="H185" s="128"/>
      <c r="I185" s="128"/>
      <c r="J185" s="128"/>
      <c r="K185" s="128"/>
      <c r="L185" s="128"/>
      <c r="M185" s="128"/>
      <c r="N185" s="128"/>
      <c r="O185" s="128"/>
      <c r="P185" s="128"/>
      <c r="Q185" s="128"/>
      <c r="R185" s="128"/>
      <c r="S185" s="128"/>
      <c r="T185" s="128"/>
    </row>
    <row r="186" spans="2:20" x14ac:dyDescent="0.3">
      <c r="B186" s="127">
        <v>26</v>
      </c>
      <c r="C186" s="128"/>
      <c r="D186" s="128"/>
      <c r="E186" s="128"/>
      <c r="F186" s="128"/>
      <c r="G186" s="128"/>
      <c r="H186" s="128"/>
      <c r="I186" s="128"/>
      <c r="J186" s="128"/>
      <c r="K186" s="128"/>
      <c r="L186" s="128"/>
      <c r="M186" s="128"/>
      <c r="N186" s="128"/>
      <c r="O186" s="128"/>
      <c r="P186" s="128"/>
      <c r="Q186" s="128"/>
      <c r="R186" s="128"/>
      <c r="S186" s="128"/>
      <c r="T186" s="128"/>
    </row>
    <row r="187" spans="2:20" x14ac:dyDescent="0.3">
      <c r="B187" s="127">
        <v>27</v>
      </c>
      <c r="C187" s="128"/>
      <c r="D187" s="128"/>
      <c r="E187" s="128"/>
      <c r="F187" s="128"/>
      <c r="G187" s="128"/>
      <c r="H187" s="128"/>
      <c r="I187" s="128"/>
      <c r="J187" s="128"/>
      <c r="K187" s="128"/>
      <c r="L187" s="128"/>
      <c r="M187" s="128"/>
      <c r="N187" s="128"/>
      <c r="O187" s="128"/>
      <c r="P187" s="128"/>
      <c r="Q187" s="128"/>
      <c r="R187" s="128"/>
      <c r="S187" s="128"/>
      <c r="T187" s="128"/>
    </row>
    <row r="188" spans="2:20" x14ac:dyDescent="0.3">
      <c r="B188" s="127">
        <v>28</v>
      </c>
      <c r="C188" s="128"/>
      <c r="D188" s="128"/>
      <c r="E188" s="128"/>
      <c r="F188" s="128"/>
      <c r="G188" s="128"/>
      <c r="H188" s="128"/>
      <c r="I188" s="128"/>
      <c r="J188" s="128"/>
      <c r="K188" s="128"/>
      <c r="L188" s="128"/>
      <c r="M188" s="128"/>
      <c r="N188" s="128"/>
      <c r="O188" s="128"/>
      <c r="P188" s="128"/>
      <c r="Q188" s="128"/>
      <c r="R188" s="128"/>
      <c r="S188" s="128"/>
      <c r="T188" s="128"/>
    </row>
    <row r="189" spans="2:20" x14ac:dyDescent="0.3">
      <c r="B189" s="127">
        <v>29</v>
      </c>
      <c r="C189" s="128"/>
      <c r="D189" s="128"/>
      <c r="E189" s="128"/>
      <c r="F189" s="128"/>
      <c r="G189" s="128"/>
      <c r="H189" s="128"/>
      <c r="I189" s="128"/>
      <c r="J189" s="128"/>
      <c r="K189" s="128"/>
      <c r="L189" s="128"/>
      <c r="M189" s="128"/>
      <c r="N189" s="128"/>
      <c r="O189" s="128"/>
      <c r="P189" s="128"/>
      <c r="Q189" s="128"/>
      <c r="R189" s="128"/>
      <c r="S189" s="128"/>
      <c r="T189" s="128"/>
    </row>
    <row r="190" spans="2:20" x14ac:dyDescent="0.3">
      <c r="B190" s="127">
        <v>30</v>
      </c>
      <c r="C190" s="128"/>
      <c r="D190" s="128"/>
      <c r="E190" s="128"/>
      <c r="F190" s="128"/>
      <c r="G190" s="128"/>
      <c r="H190" s="128"/>
      <c r="I190" s="128"/>
      <c r="J190" s="128"/>
      <c r="K190" s="128"/>
      <c r="L190" s="128"/>
      <c r="M190" s="128"/>
      <c r="N190" s="128"/>
      <c r="O190" s="128"/>
      <c r="P190" s="128"/>
      <c r="Q190" s="128"/>
      <c r="R190" s="128"/>
      <c r="S190" s="128"/>
      <c r="T190" s="128"/>
    </row>
    <row r="191" spans="2:20" hidden="1" x14ac:dyDescent="0.3">
      <c r="B191" s="59" t="s">
        <v>84</v>
      </c>
      <c r="C191" s="60">
        <f>SUM(AggPresumptiveP5[Total Presumptive TB])</f>
        <v>0</v>
      </c>
      <c r="D191" s="60">
        <f>SUM(AggPresumptiveP5[Age 0-14])</f>
        <v>0</v>
      </c>
      <c r="E191" s="60">
        <f>SUM(AggPresumptiveP5[Age 15+ ])</f>
        <v>0</v>
      </c>
      <c r="F191" s="60">
        <f>SUM(AggPresumptiveP5[Number Specimens Collected])</f>
        <v>0</v>
      </c>
      <c r="G191" s="60">
        <f>SUBTOTAL(109,AggPresumptiveP5[Unable to Produce])</f>
        <v>0</v>
      </c>
      <c r="H191" s="60">
        <f>SUM(AggPresumptiveP5[HIV Positive])</f>
        <v>0</v>
      </c>
      <c r="I191" s="60">
        <f>SUM(AggPresumptiveP5[HIV Negative])</f>
        <v>0</v>
      </c>
      <c r="J191" s="60">
        <f>SUM(AggPresumptiveP5[Not Tested])</f>
        <v>0</v>
      </c>
      <c r="K191" s="60">
        <f>SUM(AggPresumptiveP5[AFB (-)])</f>
        <v>0</v>
      </c>
      <c r="L191" s="60">
        <f>SUM(AggPresumptiveP5[AFB (+)])</f>
        <v>0</v>
      </c>
      <c r="M191" s="60">
        <f>SUM(AggPresumptiveP5[MTB Not Detected
(N)])</f>
        <v>0</v>
      </c>
      <c r="N191" s="60">
        <f>SUM(AggPresumptiveP5[MTB Detected
(including trace), 
RIF Resistance not Detected
(T)])</f>
        <v>0</v>
      </c>
      <c r="O191" s="60">
        <f>SUM(AggPresumptiveP5[MTB Detected (including trace), 
RIF Resistance Detected
(RR)])</f>
        <v>0</v>
      </c>
      <c r="P191" s="60">
        <f>SUM(AggPresumptiveP5[MTB Detected (including trace), 
RIF Resistance Indeterminate
(TI)])</f>
        <v>0</v>
      </c>
      <c r="Q191" s="60">
        <f>SUM(AggPresumptiveP5[Invalid
No Result Error
(I)])</f>
        <v>0</v>
      </c>
      <c r="R191" s="60">
        <f>SUM(AggPresumptiveP5[LAM Positive])</f>
        <v>0</v>
      </c>
      <c r="S191" s="60">
        <f>SUM(AggPresumptiveP5[LAM Negative])</f>
        <v>0</v>
      </c>
      <c r="T191" s="60">
        <f>SUM(AggPresumptiveP5[Invalid])</f>
        <v>0</v>
      </c>
    </row>
    <row r="192" spans="2:20" x14ac:dyDescent="0.3">
      <c r="B192" s="130" t="s">
        <v>84</v>
      </c>
      <c r="C192" s="49">
        <f>AggPresumptiveP5[[#Totals],[Total Presumptive TB]]</f>
        <v>0</v>
      </c>
      <c r="D192" s="49">
        <f>AggPresumptiveP5[[#Totals],[Age 0-14]]</f>
        <v>0</v>
      </c>
      <c r="E192" s="49">
        <f>AggPresumptiveP5[[#Totals],[Age 15+ ]]</f>
        <v>0</v>
      </c>
      <c r="F192" s="49">
        <f>AggPresumptiveP5[[#Totals],[Number Specimens Collected]]</f>
        <v>0</v>
      </c>
      <c r="G192" s="49">
        <f>AggPresumptiveP5[[#Totals],[Unable to Produce]]</f>
        <v>0</v>
      </c>
      <c r="H192" s="49">
        <f>AggPresumptiveP5[[#Totals],[HIV Positive]]</f>
        <v>0</v>
      </c>
      <c r="I192" s="49">
        <f>AggPresumptiveP5[[#Totals],[HIV Negative]]</f>
        <v>0</v>
      </c>
      <c r="J192" s="49">
        <f>AggPresumptiveP5[[#Totals],[Not Tested]]</f>
        <v>0</v>
      </c>
      <c r="K192" s="49">
        <f>AggPresumptiveP5[[#Totals],[AFB (-)]]</f>
        <v>0</v>
      </c>
      <c r="L192" s="49">
        <f>AggPresumptiveP5[[#Totals],[AFB (+)]]</f>
        <v>0</v>
      </c>
      <c r="M192" s="49">
        <f>AggPresumptiveP5[[#Totals],[MTB Not Detected
(N)]]</f>
        <v>0</v>
      </c>
      <c r="N192" s="49">
        <f>AggPresumptiveP5[[#Totals],[MTB Detected
(including trace), 
RIF Resistance not Detected
(T)]]</f>
        <v>0</v>
      </c>
      <c r="O192" s="49">
        <f>AggPresumptiveP5[[#Totals],[MTB Detected (including trace), 
RIF Resistance Detected
(RR)]]</f>
        <v>0</v>
      </c>
      <c r="P192" s="49">
        <f>AggPresumptiveP5[[#Totals],[MTB Detected (including trace), 
RIF Resistance Indeterminate
(TI)]]</f>
        <v>0</v>
      </c>
      <c r="Q192" s="49">
        <f>AggPresumptiveP5[[#Totals],[Invalid
No Result Error
(I)]]</f>
        <v>0</v>
      </c>
      <c r="R192" s="49">
        <f>AggPresumptiveP5[[#Totals],[LAM Positive]]</f>
        <v>0</v>
      </c>
      <c r="S192" s="49">
        <f>AggPresumptiveP5[[#Totals],[LAM Negative]]</f>
        <v>0</v>
      </c>
      <c r="T192" s="49">
        <f>AggPresumptiveP5[[#Totals],[Invalid]]</f>
        <v>0</v>
      </c>
    </row>
  </sheetData>
  <mergeCells count="42">
    <mergeCell ref="R159:T159"/>
    <mergeCell ref="D159:E159"/>
    <mergeCell ref="F159:G159"/>
    <mergeCell ref="H159:I159"/>
    <mergeCell ref="K159:L159"/>
    <mergeCell ref="M159:Q159"/>
    <mergeCell ref="R85:T85"/>
    <mergeCell ref="B158:T158"/>
    <mergeCell ref="B121:T121"/>
    <mergeCell ref="D122:E122"/>
    <mergeCell ref="F122:G122"/>
    <mergeCell ref="H122:I122"/>
    <mergeCell ref="K122:L122"/>
    <mergeCell ref="M122:Q122"/>
    <mergeCell ref="R122:T122"/>
    <mergeCell ref="B84:T84"/>
    <mergeCell ref="R11:T11"/>
    <mergeCell ref="K48:L48"/>
    <mergeCell ref="M48:Q48"/>
    <mergeCell ref="R48:T48"/>
    <mergeCell ref="D48:E48"/>
    <mergeCell ref="B3:P3"/>
    <mergeCell ref="B4:P4"/>
    <mergeCell ref="B5:P5"/>
    <mergeCell ref="B6:P6"/>
    <mergeCell ref="B7:P7"/>
    <mergeCell ref="B8:P8"/>
    <mergeCell ref="D11:E11"/>
    <mergeCell ref="D85:E85"/>
    <mergeCell ref="H85:I85"/>
    <mergeCell ref="F85:G85"/>
    <mergeCell ref="B48:C48"/>
    <mergeCell ref="H11:I11"/>
    <mergeCell ref="F11:G11"/>
    <mergeCell ref="H48:I48"/>
    <mergeCell ref="F48:G48"/>
    <mergeCell ref="K11:L11"/>
    <mergeCell ref="M11:Q11"/>
    <mergeCell ref="K85:L85"/>
    <mergeCell ref="M85:Q85"/>
    <mergeCell ref="B10:T10"/>
    <mergeCell ref="B47:T47"/>
  </mergeCells>
  <phoneticPr fontId="25" type="noConversion"/>
  <pageMargins left="0.7" right="0.7" top="0.75" bottom="0.75" header="0.3" footer="0.3"/>
  <pageSetup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38d094c5-c4df-4d92-8ae7-c99f3112b59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AB3B62F87679744948D3C68A939FFD2" ma:contentTypeVersion="16" ma:contentTypeDescription="Create a new document." ma:contentTypeScope="" ma:versionID="070d4ca858a76b98f45ef009db0223bc">
  <xsd:schema xmlns:xsd="http://www.w3.org/2001/XMLSchema" xmlns:xs="http://www.w3.org/2001/XMLSchema" xmlns:p="http://schemas.microsoft.com/office/2006/metadata/properties" xmlns:ns3="38d094c5-c4df-4d92-8ae7-c99f3112b59f" xmlns:ns4="949f8f67-6c2b-4704-bcd0-a987bfabc371" targetNamespace="http://schemas.microsoft.com/office/2006/metadata/properties" ma:root="true" ma:fieldsID="c75f625f95eaec5cb081a68226c16c24" ns3:_="" ns4:_="">
    <xsd:import namespace="38d094c5-c4df-4d92-8ae7-c99f3112b59f"/>
    <xsd:import namespace="949f8f67-6c2b-4704-bcd0-a987bfabc37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LengthInSeconds" minOccurs="0"/>
                <xsd:element ref="ns3:_activity" minOccurs="0"/>
                <xsd:element ref="ns3:MediaServiceObjectDetectorVersion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d094c5-c4df-4d92-8ae7-c99f3112b5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9f8f67-6c2b-4704-bcd0-a987bfabc37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747BDE-2342-4F73-95E6-AFE0421E9288}">
  <ds:schemaRefs>
    <ds:schemaRef ds:uri="http://schemas.microsoft.com/sharepoint/v3/contenttype/forms"/>
  </ds:schemaRefs>
</ds:datastoreItem>
</file>

<file path=customXml/itemProps2.xml><?xml version="1.0" encoding="utf-8"?>
<ds:datastoreItem xmlns:ds="http://schemas.openxmlformats.org/officeDocument/2006/customXml" ds:itemID="{ABBF313E-C230-4ED1-A2F6-735CD3495D82}">
  <ds:schemaRefs>
    <ds:schemaRef ds:uri="http://purl.org/dc/elements/1.1/"/>
    <ds:schemaRef ds:uri="http://schemas.openxmlformats.org/package/2006/metadata/core-properties"/>
    <ds:schemaRef ds:uri="949f8f67-6c2b-4704-bcd0-a987bfabc371"/>
    <ds:schemaRef ds:uri="http://schemas.microsoft.com/office/2006/documentManagement/types"/>
    <ds:schemaRef ds:uri="http://www.w3.org/XML/1998/namespace"/>
    <ds:schemaRef ds:uri="http://schemas.microsoft.com/office/2006/metadata/properties"/>
    <ds:schemaRef ds:uri="http://purl.org/dc/terms/"/>
    <ds:schemaRef ds:uri="38d094c5-c4df-4d92-8ae7-c99f3112b59f"/>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DFC1F41B-3A81-470D-B32F-35120038EA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d094c5-c4df-4d92-8ae7-c99f3112b59f"/>
    <ds:schemaRef ds:uri="949f8f67-6c2b-4704-bcd0-a987bfabc3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USER GUIDE</vt:lpstr>
      <vt:lpstr>1. ASSESSMENT PROFILE</vt:lpstr>
      <vt:lpstr>2. FACILITY PROFILE</vt:lpstr>
      <vt:lpstr>3.1 CASCADE ANALYSIS</vt:lpstr>
      <vt:lpstr>3.2 TAT ANALYSIS</vt:lpstr>
      <vt:lpstr>4.1 COMPLETENESS</vt:lpstr>
      <vt:lpstr>4.2 DATA QUALITY</vt:lpstr>
      <vt:lpstr>4.3 TABLE SUMMARIES</vt:lpstr>
      <vt:lpstr>5a. PRESUMPTIVE REGISTER - AGG</vt:lpstr>
      <vt:lpstr>5b. PRESUMPTIVE REGISTER -  PL</vt:lpstr>
      <vt:lpstr>6a. LAB REGISTER - AGG</vt:lpstr>
      <vt:lpstr>6b. LAB REGISTER - PL</vt:lpstr>
      <vt:lpstr>7a. TB TX REGISTER - AGG</vt:lpstr>
      <vt:lpstr>7b. TB TX REGISTER - PL</vt:lpstr>
      <vt:lpstr>8a. TPT REGISTER - AGG</vt:lpstr>
      <vt:lpstr>8b. TPT REGISTER - PL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2024-04-02T15:15:07Z</dcterms:created>
  <dcterms:modified xsi:type="dcterms:W3CDTF">2024-07-10T13:32:20Z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2024-04-02T15:15:37Z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04721f1f-0986-4667-bc39-89e592b66b07</vt:lpwstr>
  </property>
  <property fmtid="{D5CDD505-2E9C-101B-9397-08002B2CF9AE}" pid="8" name="MSIP_Label_7b94a7b8-f06c-4dfe-bdcc-9b548fd58c31_ContentBits">
    <vt:lpwstr>0</vt:lpwstr>
  </property>
  <property fmtid="{D5CDD505-2E9C-101B-9397-08002B2CF9AE}" pid="9" name="ContentTypeId">
    <vt:lpwstr>0x0101006AB3B62F87679744948D3C68A939FFD2</vt:lpwstr>
  </property>
</Properties>
</file>